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codeName="ThisWorkbook" defaultThemeVersion="124226"/>
  <bookViews>
    <workbookView xWindow="-1080" yWindow="600" windowWidth="12120" windowHeight="7020" tabRatio="732" activeTab="5"/>
  </bookViews>
  <sheets>
    <sheet name="intro" sheetId="95" r:id="rId1"/>
    <sheet name="sysdata" sheetId="55" r:id="rId2"/>
    <sheet name="containers" sheetId="61" r:id="rId3"/>
    <sheet name="general freight" sheetId="91" r:id="rId4"/>
    <sheet name="bulk freight" sheetId="94" r:id="rId5"/>
    <sheet name="passengers" sheetId="93" r:id="rId6"/>
    <sheet name="Sheet1" sheetId="96" r:id="rId7"/>
  </sheets>
  <definedNames>
    <definedName name="\0">#REF!</definedName>
    <definedName name="_xlnm.Print_Area" localSheetId="2">containers!$A$1:$U$417</definedName>
  </definedNames>
  <calcPr calcId="125725" calcMode="manual" iterate="1" iterateCount="1" iterateDelta="0"/>
</workbook>
</file>

<file path=xl/calcChain.xml><?xml version="1.0" encoding="utf-8"?>
<calcChain xmlns="http://schemas.openxmlformats.org/spreadsheetml/2006/main">
  <c r="I78" i="91"/>
  <c r="I148"/>
  <c r="I154"/>
  <c r="I186"/>
  <c r="I239"/>
  <c r="I247"/>
  <c r="I60" i="61"/>
  <c r="I102" s="1"/>
  <c r="I57" i="93"/>
  <c r="I101"/>
  <c r="I71"/>
  <c r="I73"/>
  <c r="I159"/>
  <c r="I191"/>
  <c r="I252"/>
  <c r="I49" i="94"/>
  <c r="I91"/>
  <c r="I28"/>
  <c r="I63"/>
  <c r="I51"/>
  <c r="I65"/>
  <c r="I83" s="1"/>
  <c r="I87" s="1"/>
  <c r="I145"/>
  <c r="I151"/>
  <c r="I184"/>
  <c r="I75"/>
  <c r="I237"/>
  <c r="I245"/>
  <c r="I255"/>
  <c r="I64" i="61"/>
  <c r="I74"/>
  <c r="I62"/>
  <c r="I66" s="1"/>
  <c r="I76" s="1"/>
  <c r="I160"/>
  <c r="I166"/>
  <c r="I198"/>
  <c r="I86"/>
  <c r="I255"/>
  <c r="I273"/>
  <c r="K252" i="93"/>
  <c r="M252" s="1"/>
  <c r="K255" i="94"/>
  <c r="M255"/>
  <c r="K245"/>
  <c r="M245" s="1"/>
  <c r="K237"/>
  <c r="M237" s="1"/>
  <c r="K257" i="91"/>
  <c r="K247"/>
  <c r="M247"/>
  <c r="I377" s="1"/>
  <c r="K239"/>
  <c r="M239"/>
  <c r="M255" i="61"/>
  <c r="K245"/>
  <c r="I258" i="93"/>
  <c r="I238"/>
  <c r="I251" i="94"/>
  <c r="I316" s="1"/>
  <c r="I261"/>
  <c r="I263" i="91"/>
  <c r="I253"/>
  <c r="I318" s="1"/>
  <c r="I235"/>
  <c r="I279" i="61"/>
  <c r="I251"/>
  <c r="I41" i="93"/>
  <c r="I43" s="1"/>
  <c r="L36" s="1"/>
  <c r="F337"/>
  <c r="F336"/>
  <c r="E336"/>
  <c r="F335"/>
  <c r="I155"/>
  <c r="J132" i="55"/>
  <c r="I147" i="94"/>
  <c r="I150" i="91"/>
  <c r="I162" i="61"/>
  <c r="L69" i="55"/>
  <c r="L68"/>
  <c r="M198" i="61"/>
  <c r="F47" i="55"/>
  <c r="K54"/>
  <c r="F51" s="1"/>
  <c r="I54"/>
  <c r="F50" s="1"/>
  <c r="F48"/>
  <c r="G21"/>
  <c r="J21"/>
  <c r="A405" i="93"/>
  <c r="A409"/>
  <c r="G24" i="55"/>
  <c r="J24"/>
  <c r="G23"/>
  <c r="G22"/>
  <c r="J22" s="1"/>
  <c r="O44" i="91"/>
  <c r="O62" s="1"/>
  <c r="L102" i="55"/>
  <c r="F102"/>
  <c r="R64" i="91"/>
  <c r="I257" s="1"/>
  <c r="M257" s="1"/>
  <c r="K44"/>
  <c r="K62"/>
  <c r="I44"/>
  <c r="I62"/>
  <c r="L106" i="55"/>
  <c r="L105"/>
  <c r="L104"/>
  <c r="F104"/>
  <c r="F106"/>
  <c r="F105"/>
  <c r="A331" i="94"/>
  <c r="A263"/>
  <c r="A200"/>
  <c r="A169"/>
  <c r="A102"/>
  <c r="A53"/>
  <c r="P335" i="91"/>
  <c r="I294"/>
  <c r="M261"/>
  <c r="M259"/>
  <c r="M251"/>
  <c r="M249"/>
  <c r="M243"/>
  <c r="M241"/>
  <c r="M233"/>
  <c r="M231"/>
  <c r="M221"/>
  <c r="M219"/>
  <c r="K200"/>
  <c r="M200"/>
  <c r="I361" s="1"/>
  <c r="K196"/>
  <c r="K194"/>
  <c r="O193"/>
  <c r="O192"/>
  <c r="O191"/>
  <c r="O190"/>
  <c r="K182"/>
  <c r="I82"/>
  <c r="I39"/>
  <c r="K52" s="1"/>
  <c r="K66" s="1"/>
  <c r="I10"/>
  <c r="K198" i="94"/>
  <c r="M198"/>
  <c r="I359" s="1"/>
  <c r="K194"/>
  <c r="K192"/>
  <c r="O191"/>
  <c r="O190"/>
  <c r="O189"/>
  <c r="O188"/>
  <c r="K180"/>
  <c r="I55" i="93"/>
  <c r="I99"/>
  <c r="I103" s="1"/>
  <c r="I69" i="94"/>
  <c r="P333"/>
  <c r="I292"/>
  <c r="M259"/>
  <c r="M257"/>
  <c r="M249"/>
  <c r="M247"/>
  <c r="M241"/>
  <c r="M239"/>
  <c r="M231"/>
  <c r="M229"/>
  <c r="M219"/>
  <c r="M217"/>
  <c r="I79"/>
  <c r="I81" s="1"/>
  <c r="I85" s="1"/>
  <c r="I39"/>
  <c r="I10"/>
  <c r="O224" i="93"/>
  <c r="A339"/>
  <c r="E338"/>
  <c r="A338"/>
  <c r="E335"/>
  <c r="A335"/>
  <c r="I295"/>
  <c r="O295"/>
  <c r="A269"/>
  <c r="F267"/>
  <c r="A267"/>
  <c r="F265"/>
  <c r="F264"/>
  <c r="E264"/>
  <c r="F262"/>
  <c r="E262"/>
  <c r="A262"/>
  <c r="M256"/>
  <c r="M254"/>
  <c r="M246"/>
  <c r="M244"/>
  <c r="K242"/>
  <c r="M242" s="1"/>
  <c r="M236"/>
  <c r="M234"/>
  <c r="M224"/>
  <c r="M222"/>
  <c r="M203"/>
  <c r="I364" s="1"/>
  <c r="O202"/>
  <c r="O201"/>
  <c r="K201"/>
  <c r="O200"/>
  <c r="O199"/>
  <c r="K199"/>
  <c r="O198"/>
  <c r="O197"/>
  <c r="O194"/>
  <c r="O196" s="1"/>
  <c r="O193"/>
  <c r="O195" s="1"/>
  <c r="O189"/>
  <c r="O184" i="91" s="1"/>
  <c r="K189" i="93"/>
  <c r="K184" i="91" s="1"/>
  <c r="O185" i="93"/>
  <c r="I87"/>
  <c r="I89" s="1"/>
  <c r="I93" s="1"/>
  <c r="I12"/>
  <c r="E339" s="1"/>
  <c r="D232" i="55"/>
  <c r="I44" i="61"/>
  <c r="I38"/>
  <c r="I36" s="1"/>
  <c r="I114" s="1"/>
  <c r="I50"/>
  <c r="I343"/>
  <c r="M216"/>
  <c r="K210"/>
  <c r="K198" i="91"/>
  <c r="K204" i="61"/>
  <c r="K197" i="93"/>
  <c r="K202" i="61"/>
  <c r="K188" i="94"/>
  <c r="K200" i="61"/>
  <c r="K195" i="93"/>
  <c r="F217" i="55"/>
  <c r="H70"/>
  <c r="E211" s="1"/>
  <c r="D211"/>
  <c r="C224" s="1"/>
  <c r="F205"/>
  <c r="M273" i="61"/>
  <c r="Q189"/>
  <c r="T190"/>
  <c r="T189"/>
  <c r="T191"/>
  <c r="K243"/>
  <c r="K228"/>
  <c r="K215" i="93" s="1"/>
  <c r="K233" i="61"/>
  <c r="E197" i="55"/>
  <c r="E196"/>
  <c r="E195"/>
  <c r="C198"/>
  <c r="E187"/>
  <c r="F187"/>
  <c r="E186"/>
  <c r="F186" s="1"/>
  <c r="H186"/>
  <c r="C187"/>
  <c r="C189"/>
  <c r="D187"/>
  <c r="D189"/>
  <c r="C169"/>
  <c r="I189" i="93" s="1"/>
  <c r="F49" i="55"/>
  <c r="F52" s="1"/>
  <c r="E160"/>
  <c r="E161"/>
  <c r="E159"/>
  <c r="F179"/>
  <c r="F178"/>
  <c r="H178" s="1"/>
  <c r="F177"/>
  <c r="E162"/>
  <c r="E163" s="1"/>
  <c r="H163" s="1"/>
  <c r="C151" s="1"/>
  <c r="I187" i="93" s="1"/>
  <c r="M187" s="1"/>
  <c r="L103" i="55"/>
  <c r="L101"/>
  <c r="I129" i="93" s="1"/>
  <c r="L100" i="55"/>
  <c r="D141"/>
  <c r="D142"/>
  <c r="D115"/>
  <c r="D116"/>
  <c r="D117" s="1"/>
  <c r="G131"/>
  <c r="G130"/>
  <c r="G129"/>
  <c r="G128"/>
  <c r="J133"/>
  <c r="I137" i="93" s="1"/>
  <c r="J131" i="55"/>
  <c r="J130"/>
  <c r="J129"/>
  <c r="J128"/>
  <c r="F103"/>
  <c r="F101"/>
  <c r="F100"/>
  <c r="D87"/>
  <c r="F85" s="1"/>
  <c r="F86"/>
  <c r="L70"/>
  <c r="L67"/>
  <c r="L66"/>
  <c r="M35"/>
  <c r="J35"/>
  <c r="O35"/>
  <c r="C36"/>
  <c r="D35"/>
  <c r="Q35" s="1"/>
  <c r="R35" s="1"/>
  <c r="D34"/>
  <c r="D33"/>
  <c r="D32"/>
  <c r="I116" i="61" s="1"/>
  <c r="M34" i="55"/>
  <c r="J34"/>
  <c r="O34" s="1"/>
  <c r="M33"/>
  <c r="J33"/>
  <c r="O33"/>
  <c r="M32"/>
  <c r="J32"/>
  <c r="I24"/>
  <c r="I23"/>
  <c r="L23" s="1"/>
  <c r="I22"/>
  <c r="L22" s="1"/>
  <c r="H24"/>
  <c r="K24" s="1"/>
  <c r="H23"/>
  <c r="K23" s="1"/>
  <c r="H22"/>
  <c r="K22" s="1"/>
  <c r="J23"/>
  <c r="I21"/>
  <c r="H21"/>
  <c r="K21" s="1"/>
  <c r="F24"/>
  <c r="F23"/>
  <c r="F22"/>
  <c r="F21"/>
  <c r="E25"/>
  <c r="J9" i="61"/>
  <c r="G287"/>
  <c r="I90"/>
  <c r="O148"/>
  <c r="M212"/>
  <c r="I394" s="1"/>
  <c r="M214"/>
  <c r="M235"/>
  <c r="M237"/>
  <c r="M247"/>
  <c r="M249"/>
  <c r="M257"/>
  <c r="M259"/>
  <c r="M265"/>
  <c r="M267"/>
  <c r="M275"/>
  <c r="M277"/>
  <c r="A283"/>
  <c r="F283"/>
  <c r="A286"/>
  <c r="F286"/>
  <c r="A287"/>
  <c r="I319"/>
  <c r="A359"/>
  <c r="F359"/>
  <c r="A362"/>
  <c r="F362"/>
  <c r="A363"/>
  <c r="E7" i="55"/>
  <c r="M263" i="61"/>
  <c r="I410"/>
  <c r="E188" i="55"/>
  <c r="K193" i="93"/>
  <c r="K188" i="91" s="1"/>
  <c r="K190" i="94"/>
  <c r="Q295" i="93"/>
  <c r="L21" i="55"/>
  <c r="M210" i="61"/>
  <c r="K196" i="94"/>
  <c r="M196" s="1"/>
  <c r="O189" i="91"/>
  <c r="K190"/>
  <c r="O182" i="94"/>
  <c r="K192" i="91"/>
  <c r="C406" i="93"/>
  <c r="E224" i="55"/>
  <c r="H177"/>
  <c r="E164"/>
  <c r="F25"/>
  <c r="F180"/>
  <c r="I180"/>
  <c r="O32"/>
  <c r="P32" s="1"/>
  <c r="F211"/>
  <c r="D88"/>
  <c r="D89" s="1"/>
  <c r="P35"/>
  <c r="I25"/>
  <c r="L25" s="1"/>
  <c r="I108" i="94" s="1"/>
  <c r="I109" s="1"/>
  <c r="F33" i="55"/>
  <c r="G33" s="1"/>
  <c r="D144"/>
  <c r="D145" s="1"/>
  <c r="D114"/>
  <c r="D139"/>
  <c r="H25"/>
  <c r="F34"/>
  <c r="G186"/>
  <c r="I186"/>
  <c r="G187"/>
  <c r="L24"/>
  <c r="D36"/>
  <c r="F38" s="1"/>
  <c r="D217"/>
  <c r="E35"/>
  <c r="F39"/>
  <c r="P33"/>
  <c r="Q33"/>
  <c r="R33" s="1"/>
  <c r="G25"/>
  <c r="J38"/>
  <c r="J39" s="1"/>
  <c r="G205" s="1"/>
  <c r="E198"/>
  <c r="F224"/>
  <c r="H179"/>
  <c r="F32"/>
  <c r="Q32"/>
  <c r="R32" s="1"/>
  <c r="K116" i="61"/>
  <c r="G188" i="55"/>
  <c r="I188" s="1"/>
  <c r="F188"/>
  <c r="H188"/>
  <c r="M189" i="93"/>
  <c r="I160" i="91"/>
  <c r="I162" s="1"/>
  <c r="I158" i="94"/>
  <c r="I160" s="1"/>
  <c r="K25" i="55"/>
  <c r="I125" i="61" s="1"/>
  <c r="I165" i="93"/>
  <c r="I172" i="61"/>
  <c r="J25" i="55"/>
  <c r="I116" i="93" s="1"/>
  <c r="F35" i="55"/>
  <c r="G32"/>
  <c r="C238" s="1"/>
  <c r="G35"/>
  <c r="F163"/>
  <c r="K210" i="94"/>
  <c r="Q52" i="91"/>
  <c r="L52"/>
  <c r="K186" i="94"/>
  <c r="O186"/>
  <c r="I104" i="61"/>
  <c r="I93" i="94"/>
  <c r="I95" s="1"/>
  <c r="K184"/>
  <c r="M184"/>
  <c r="O184"/>
  <c r="O186" i="91"/>
  <c r="M52"/>
  <c r="M54"/>
  <c r="P52"/>
  <c r="I41"/>
  <c r="Q54"/>
  <c r="L54"/>
  <c r="P54"/>
  <c r="O294"/>
  <c r="O188"/>
  <c r="O187" i="94"/>
  <c r="I40" i="61"/>
  <c r="I306" s="1"/>
  <c r="O319"/>
  <c r="O343"/>
  <c r="I106"/>
  <c r="I108"/>
  <c r="O410"/>
  <c r="I384"/>
  <c r="I308"/>
  <c r="O308" s="1"/>
  <c r="I110"/>
  <c r="S343"/>
  <c r="I382"/>
  <c r="I112"/>
  <c r="S308"/>
  <c r="O384"/>
  <c r="S384"/>
  <c r="O382"/>
  <c r="S382"/>
  <c r="Q364" i="93"/>
  <c r="O364"/>
  <c r="A410"/>
  <c r="K182" i="94"/>
  <c r="K186" i="91"/>
  <c r="M186" s="1"/>
  <c r="O361"/>
  <c r="E269" i="93"/>
  <c r="G363" i="61"/>
  <c r="C239" i="55" l="1"/>
  <c r="D119"/>
  <c r="D120"/>
  <c r="O306" i="61"/>
  <c r="S306"/>
  <c r="G211" i="55"/>
  <c r="G224"/>
  <c r="H224" s="1"/>
  <c r="H205"/>
  <c r="H132"/>
  <c r="H133"/>
  <c r="I195" i="93" s="1"/>
  <c r="M195" s="1"/>
  <c r="H128" i="55"/>
  <c r="H131"/>
  <c r="H129"/>
  <c r="H130"/>
  <c r="I117" i="94"/>
  <c r="I113"/>
  <c r="D92" i="55"/>
  <c r="D91"/>
  <c r="O394" i="61"/>
  <c r="S394"/>
  <c r="P34" i="55"/>
  <c r="Q34"/>
  <c r="Q36" s="1"/>
  <c r="D138"/>
  <c r="D113"/>
  <c r="R34"/>
  <c r="R36" s="1"/>
  <c r="F53" s="1"/>
  <c r="I156" i="94"/>
  <c r="I170" i="61"/>
  <c r="I158" i="91"/>
  <c r="I163" i="93"/>
  <c r="I28" i="91"/>
  <c r="I30" i="93"/>
  <c r="I25" i="61"/>
  <c r="Q394" s="1"/>
  <c r="I194" i="91"/>
  <c r="I199" i="93"/>
  <c r="I192" i="94"/>
  <c r="I206" i="61"/>
  <c r="K230" i="93"/>
  <c r="K227" i="91"/>
  <c r="K225" i="94"/>
  <c r="U382" i="61"/>
  <c r="U384"/>
  <c r="U308"/>
  <c r="S319"/>
  <c r="S410"/>
  <c r="U319"/>
  <c r="G189" i="55"/>
  <c r="G34"/>
  <c r="C240" s="1"/>
  <c r="C241" s="1"/>
  <c r="D238" s="1"/>
  <c r="E34"/>
  <c r="E32"/>
  <c r="E33"/>
  <c r="C164" s="1"/>
  <c r="I92" i="61"/>
  <c r="I96" s="1"/>
  <c r="I227" i="91"/>
  <c r="M227" s="1"/>
  <c r="I243" i="61"/>
  <c r="I225" i="94"/>
  <c r="M225" s="1"/>
  <c r="I230" i="93"/>
  <c r="I194" i="94"/>
  <c r="I208" i="61"/>
  <c r="I196" i="91"/>
  <c r="M196" s="1"/>
  <c r="I201" i="93"/>
  <c r="I121" i="94"/>
  <c r="I138" i="61"/>
  <c r="I124" i="91"/>
  <c r="K114" i="61"/>
  <c r="K306" s="1"/>
  <c r="I118"/>
  <c r="K118" s="1"/>
  <c r="I178" s="1"/>
  <c r="I180"/>
  <c r="I176"/>
  <c r="I41" i="94"/>
  <c r="O316" s="1"/>
  <c r="I97"/>
  <c r="Q292"/>
  <c r="I107" i="93"/>
  <c r="K107" s="1"/>
  <c r="H187" i="55"/>
  <c r="O318" i="91"/>
  <c r="O377"/>
  <c r="I375" i="94"/>
  <c r="I94" i="61"/>
  <c r="I98" s="1"/>
  <c r="K212" i="91"/>
  <c r="I196" i="61"/>
  <c r="M196" s="1"/>
  <c r="I182" i="94"/>
  <c r="M182" s="1"/>
  <c r="I105" i="93"/>
  <c r="I99" i="94" s="1"/>
  <c r="K99" s="1"/>
  <c r="I184" i="91"/>
  <c r="M184" s="1"/>
  <c r="O52"/>
  <c r="O66" s="1"/>
  <c r="I52"/>
  <c r="I91" i="93"/>
  <c r="I95" s="1"/>
  <c r="O54" i="91"/>
  <c r="O68" s="1"/>
  <c r="K54"/>
  <c r="K68" s="1"/>
  <c r="I54"/>
  <c r="I303" i="93" l="1"/>
  <c r="I192" i="91"/>
  <c r="M192" s="1"/>
  <c r="I197" i="93"/>
  <c r="M197" s="1"/>
  <c r="I190" i="94"/>
  <c r="M190" s="1"/>
  <c r="I204" i="61"/>
  <c r="M204" s="1"/>
  <c r="O375" i="94"/>
  <c r="Q375" s="1"/>
  <c r="I187" i="55"/>
  <c r="I189" s="1"/>
  <c r="H189"/>
  <c r="K97" i="94"/>
  <c r="K375" s="1"/>
  <c r="I101"/>
  <c r="K101" s="1"/>
  <c r="I164" s="1"/>
  <c r="I290"/>
  <c r="M194"/>
  <c r="I357" s="1"/>
  <c r="I288"/>
  <c r="M192"/>
  <c r="I355" s="1"/>
  <c r="I290" i="91"/>
  <c r="M194"/>
  <c r="I357" s="1"/>
  <c r="I117" i="93"/>
  <c r="I167"/>
  <c r="J69" i="55"/>
  <c r="J68"/>
  <c r="J66"/>
  <c r="J67"/>
  <c r="J105"/>
  <c r="J100"/>
  <c r="I202" i="61" s="1"/>
  <c r="M202" s="1"/>
  <c r="J104" i="55"/>
  <c r="J103"/>
  <c r="J106"/>
  <c r="J101"/>
  <c r="J102" s="1"/>
  <c r="M382" i="61"/>
  <c r="M308"/>
  <c r="M394"/>
  <c r="I119" i="94"/>
  <c r="I123" s="1"/>
  <c r="D239" i="55"/>
  <c r="I327" i="61" s="1"/>
  <c r="G164" i="55"/>
  <c r="H164" s="1"/>
  <c r="I68" i="91"/>
  <c r="R54"/>
  <c r="I96"/>
  <c r="I94"/>
  <c r="I66"/>
  <c r="R52"/>
  <c r="K105" i="93"/>
  <c r="I143" s="1"/>
  <c r="I109"/>
  <c r="K109" s="1"/>
  <c r="I171" s="1"/>
  <c r="O292" i="94"/>
  <c r="O359"/>
  <c r="Q359" s="1"/>
  <c r="I156" i="61"/>
  <c r="I164" s="1"/>
  <c r="I158"/>
  <c r="I304"/>
  <c r="K384"/>
  <c r="K382"/>
  <c r="K410"/>
  <c r="M410"/>
  <c r="M384"/>
  <c r="I380"/>
  <c r="K319"/>
  <c r="M319"/>
  <c r="M343"/>
  <c r="K343"/>
  <c r="I293" i="93"/>
  <c r="M201"/>
  <c r="I362" s="1"/>
  <c r="I317" i="61"/>
  <c r="M208"/>
  <c r="I392" s="1"/>
  <c r="M230" i="93"/>
  <c r="I374" s="1"/>
  <c r="I245" i="61"/>
  <c r="M243"/>
  <c r="E36" i="55"/>
  <c r="C163"/>
  <c r="I315" i="61"/>
  <c r="M206"/>
  <c r="I390" s="1"/>
  <c r="I291" i="93"/>
  <c r="M199"/>
  <c r="I360" s="1"/>
  <c r="I154" i="61"/>
  <c r="I126"/>
  <c r="I152"/>
  <c r="I174"/>
  <c r="Q410"/>
  <c r="U343"/>
  <c r="U410"/>
  <c r="Q308"/>
  <c r="Q319"/>
  <c r="Q343"/>
  <c r="Q384"/>
  <c r="I150"/>
  <c r="I112" i="91"/>
  <c r="I292"/>
  <c r="Q294"/>
  <c r="I359"/>
  <c r="Q361"/>
  <c r="Q318"/>
  <c r="Q377"/>
  <c r="G217" i="55"/>
  <c r="H217" s="1"/>
  <c r="H211"/>
  <c r="I102" i="91"/>
  <c r="K102" s="1"/>
  <c r="D240" i="55"/>
  <c r="K308" i="61"/>
  <c r="Q316" i="94"/>
  <c r="Q382" i="61"/>
  <c r="K394"/>
  <c r="U394"/>
  <c r="H227" i="55"/>
  <c r="I198" i="91" s="1"/>
  <c r="M198" s="1"/>
  <c r="Q306" i="61"/>
  <c r="M306"/>
  <c r="U306"/>
  <c r="G36" i="55"/>
  <c r="Q362" i="93" l="1"/>
  <c r="O362"/>
  <c r="K362"/>
  <c r="M362" s="1"/>
  <c r="O292" i="91"/>
  <c r="Q292"/>
  <c r="I120"/>
  <c r="I116"/>
  <c r="I300" i="61"/>
  <c r="I376"/>
  <c r="I297" i="93"/>
  <c r="Q291"/>
  <c r="O291"/>
  <c r="K291"/>
  <c r="I321" i="61"/>
  <c r="O315"/>
  <c r="Q315"/>
  <c r="K315"/>
  <c r="U315"/>
  <c r="M315"/>
  <c r="S315"/>
  <c r="M245"/>
  <c r="I404" s="1"/>
  <c r="I337"/>
  <c r="O317"/>
  <c r="H317"/>
  <c r="U317"/>
  <c r="Q317"/>
  <c r="K317"/>
  <c r="S317"/>
  <c r="M317"/>
  <c r="Q293" i="93"/>
  <c r="K293"/>
  <c r="M293" s="1"/>
  <c r="O293"/>
  <c r="O304" i="61"/>
  <c r="M304"/>
  <c r="Q304"/>
  <c r="S304"/>
  <c r="K304"/>
  <c r="U304"/>
  <c r="I296"/>
  <c r="I372"/>
  <c r="I98" i="91"/>
  <c r="I100"/>
  <c r="C153" i="55"/>
  <c r="C152"/>
  <c r="I194" i="61" s="1"/>
  <c r="M194" s="1"/>
  <c r="K123" i="94"/>
  <c r="I124"/>
  <c r="K124" s="1"/>
  <c r="I190" i="91"/>
  <c r="M190" s="1"/>
  <c r="I188" i="94"/>
  <c r="M188" s="1"/>
  <c r="I135" i="93"/>
  <c r="I139" s="1"/>
  <c r="I121"/>
  <c r="E414"/>
  <c r="E415" s="1"/>
  <c r="E416" s="1"/>
  <c r="E418" s="1"/>
  <c r="I153" s="1"/>
  <c r="D132" i="55" s="1"/>
  <c r="O357" i="91"/>
  <c r="I363"/>
  <c r="Q357"/>
  <c r="I361" i="94"/>
  <c r="O355"/>
  <c r="M355"/>
  <c r="K355"/>
  <c r="M357"/>
  <c r="K357"/>
  <c r="O357"/>
  <c r="Q357" s="1"/>
  <c r="Q303" i="93"/>
  <c r="O303"/>
  <c r="K303"/>
  <c r="M303" s="1"/>
  <c r="M375" i="94"/>
  <c r="I300"/>
  <c r="I302" i="91"/>
  <c r="Q359"/>
  <c r="O359"/>
  <c r="I134" i="61"/>
  <c r="I136" s="1"/>
  <c r="I140" s="1"/>
  <c r="I130"/>
  <c r="I146" s="1"/>
  <c r="O360" i="93"/>
  <c r="O366" s="1"/>
  <c r="Q360"/>
  <c r="Q366" s="1"/>
  <c r="I366"/>
  <c r="K360"/>
  <c r="O390" i="61"/>
  <c r="M390"/>
  <c r="K390"/>
  <c r="I396"/>
  <c r="Q390"/>
  <c r="S390"/>
  <c r="S396" s="1"/>
  <c r="U390"/>
  <c r="O374" i="93"/>
  <c r="Q374"/>
  <c r="K374"/>
  <c r="M374" s="1"/>
  <c r="O392" i="61"/>
  <c r="Q392"/>
  <c r="S392"/>
  <c r="K392"/>
  <c r="U392"/>
  <c r="M392"/>
  <c r="M380"/>
  <c r="S380"/>
  <c r="Q380"/>
  <c r="U380"/>
  <c r="O380"/>
  <c r="K380"/>
  <c r="I302"/>
  <c r="I378"/>
  <c r="I123" i="93"/>
  <c r="I151"/>
  <c r="M105"/>
  <c r="I149"/>
  <c r="I157" s="1"/>
  <c r="I127"/>
  <c r="I131" s="1"/>
  <c r="K364"/>
  <c r="M364" s="1"/>
  <c r="K295"/>
  <c r="M295" s="1"/>
  <c r="I84" i="91"/>
  <c r="I88" s="1"/>
  <c r="R66"/>
  <c r="I86"/>
  <c r="I90" s="1"/>
  <c r="R68"/>
  <c r="O327" i="61"/>
  <c r="Q327"/>
  <c r="U327"/>
  <c r="M327"/>
  <c r="S327"/>
  <c r="K327"/>
  <c r="I188" i="91"/>
  <c r="M188" s="1"/>
  <c r="I186" i="94"/>
  <c r="M186" s="1"/>
  <c r="I200" i="61"/>
  <c r="M200" s="1"/>
  <c r="I374" s="1"/>
  <c r="I193" i="93"/>
  <c r="M193" s="1"/>
  <c r="I296" i="91"/>
  <c r="Q290"/>
  <c r="Q296" s="1"/>
  <c r="O290"/>
  <c r="O296" s="1"/>
  <c r="I294" i="94"/>
  <c r="K288"/>
  <c r="M288"/>
  <c r="Q288"/>
  <c r="Q294" s="1"/>
  <c r="O288"/>
  <c r="O290"/>
  <c r="K290"/>
  <c r="M290"/>
  <c r="Q290"/>
  <c r="I115"/>
  <c r="I141"/>
  <c r="I149" s="1"/>
  <c r="I139"/>
  <c r="I143"/>
  <c r="I137"/>
  <c r="I279"/>
  <c r="I129"/>
  <c r="M97"/>
  <c r="K359"/>
  <c r="M359" s="1"/>
  <c r="I347"/>
  <c r="I135"/>
  <c r="K316"/>
  <c r="K292"/>
  <c r="M292" s="1"/>
  <c r="M316"/>
  <c r="I228" i="61"/>
  <c r="I215" i="93"/>
  <c r="I212" i="91"/>
  <c r="I210" i="94"/>
  <c r="I132" i="61"/>
  <c r="I147" i="93"/>
  <c r="I145"/>
  <c r="D241" i="55"/>
  <c r="Q374" i="61" l="1"/>
  <c r="K374"/>
  <c r="S374"/>
  <c r="M374"/>
  <c r="O374"/>
  <c r="U374"/>
  <c r="I280" i="93"/>
  <c r="I350"/>
  <c r="I294" i="61"/>
  <c r="I370"/>
  <c r="I233"/>
  <c r="M228"/>
  <c r="I131" i="94"/>
  <c r="K131" s="1"/>
  <c r="I133"/>
  <c r="K133" s="1"/>
  <c r="K129"/>
  <c r="I273"/>
  <c r="I341"/>
  <c r="I282" i="93"/>
  <c r="I352"/>
  <c r="I215" i="94"/>
  <c r="I308" s="1"/>
  <c r="M210"/>
  <c r="M215" s="1"/>
  <c r="I367" s="1"/>
  <c r="M215" i="93"/>
  <c r="K347" i="94"/>
  <c r="O347"/>
  <c r="Q347"/>
  <c r="M347"/>
  <c r="I227"/>
  <c r="I310" s="1"/>
  <c r="M227"/>
  <c r="I369" s="1"/>
  <c r="I162"/>
  <c r="I166"/>
  <c r="K279"/>
  <c r="M279"/>
  <c r="Q279"/>
  <c r="O279"/>
  <c r="I277"/>
  <c r="I345"/>
  <c r="I271"/>
  <c r="I339"/>
  <c r="K131" i="93"/>
  <c r="I132"/>
  <c r="K132" s="1"/>
  <c r="I173"/>
  <c r="I220" s="1"/>
  <c r="I312" s="1"/>
  <c r="I169"/>
  <c r="I232" s="1"/>
  <c r="I314" s="1"/>
  <c r="I276"/>
  <c r="I346"/>
  <c r="O302" i="61"/>
  <c r="U302"/>
  <c r="K302"/>
  <c r="M302"/>
  <c r="Q302"/>
  <c r="S302"/>
  <c r="K140"/>
  <c r="K142" s="1"/>
  <c r="I141"/>
  <c r="K141" s="1"/>
  <c r="I142"/>
  <c r="K300" i="94"/>
  <c r="M300"/>
  <c r="O300"/>
  <c r="Q300"/>
  <c r="Q355"/>
  <c r="Q361" s="1"/>
  <c r="O361"/>
  <c r="I182" i="91"/>
  <c r="M182" s="1"/>
  <c r="I180" i="94"/>
  <c r="M180" s="1"/>
  <c r="I337" s="1"/>
  <c r="O296" i="61"/>
  <c r="M296"/>
  <c r="K296"/>
  <c r="U296"/>
  <c r="Q296"/>
  <c r="S296"/>
  <c r="O404"/>
  <c r="K404"/>
  <c r="M404"/>
  <c r="S404"/>
  <c r="Q404"/>
  <c r="U404"/>
  <c r="M291" i="93"/>
  <c r="M297" s="1"/>
  <c r="K297"/>
  <c r="Q376" i="61"/>
  <c r="O376"/>
  <c r="S376"/>
  <c r="K376"/>
  <c r="U376"/>
  <c r="M376"/>
  <c r="O294" i="94"/>
  <c r="M294"/>
  <c r="U396" i="61"/>
  <c r="Q396"/>
  <c r="K396"/>
  <c r="O396"/>
  <c r="K361" i="94"/>
  <c r="Q363" i="91"/>
  <c r="O363"/>
  <c r="I125" i="94"/>
  <c r="K125"/>
  <c r="M321" i="61"/>
  <c r="K321"/>
  <c r="O321"/>
  <c r="Q297" i="93"/>
  <c r="M212" i="91"/>
  <c r="I275" i="94"/>
  <c r="I343"/>
  <c r="I278" i="93"/>
  <c r="I348"/>
  <c r="I284"/>
  <c r="I354"/>
  <c r="Q378" i="61"/>
  <c r="S378"/>
  <c r="U378"/>
  <c r="K378"/>
  <c r="M378"/>
  <c r="O378"/>
  <c r="K366" i="93"/>
  <c r="M360"/>
  <c r="M366" s="1"/>
  <c r="I147" i="61"/>
  <c r="K147" s="1"/>
  <c r="K146"/>
  <c r="O302" i="91"/>
  <c r="Q302"/>
  <c r="K139" i="93"/>
  <c r="I140"/>
  <c r="K140" s="1"/>
  <c r="K100" i="91"/>
  <c r="I104"/>
  <c r="K104" s="1"/>
  <c r="I166" s="1"/>
  <c r="U372" i="61"/>
  <c r="M372"/>
  <c r="Q372"/>
  <c r="K372"/>
  <c r="S372"/>
  <c r="O372"/>
  <c r="S337"/>
  <c r="K337"/>
  <c r="M337"/>
  <c r="U337"/>
  <c r="Q337"/>
  <c r="O337"/>
  <c r="Q321"/>
  <c r="O300"/>
  <c r="M300"/>
  <c r="S300"/>
  <c r="U300"/>
  <c r="K300"/>
  <c r="Q300"/>
  <c r="K294" i="94"/>
  <c r="M396" i="61"/>
  <c r="M361" i="94"/>
  <c r="S321" i="61"/>
  <c r="U321"/>
  <c r="O297" i="93"/>
  <c r="I298" i="61"/>
  <c r="I122" i="91"/>
  <c r="I126" s="1"/>
  <c r="O337" i="94" l="1"/>
  <c r="K337"/>
  <c r="Q337"/>
  <c r="I351"/>
  <c r="M337"/>
  <c r="I316" i="93"/>
  <c r="O312"/>
  <c r="Q312"/>
  <c r="K312"/>
  <c r="O298" i="61"/>
  <c r="S298"/>
  <c r="K298"/>
  <c r="M298"/>
  <c r="U298"/>
  <c r="Q298"/>
  <c r="I146" i="91"/>
  <c r="I281"/>
  <c r="I132"/>
  <c r="I118"/>
  <c r="M100"/>
  <c r="I144"/>
  <c r="M294"/>
  <c r="I349"/>
  <c r="K361"/>
  <c r="M361"/>
  <c r="M377"/>
  <c r="K294"/>
  <c r="K318"/>
  <c r="M318"/>
  <c r="K377"/>
  <c r="I142"/>
  <c r="I140"/>
  <c r="I138"/>
  <c r="K292"/>
  <c r="M357"/>
  <c r="M359"/>
  <c r="M292"/>
  <c r="K357"/>
  <c r="K363" s="1"/>
  <c r="K359"/>
  <c r="M290"/>
  <c r="M296" s="1"/>
  <c r="K290"/>
  <c r="Q284" i="93"/>
  <c r="K284"/>
  <c r="M284" s="1"/>
  <c r="O284"/>
  <c r="Q278"/>
  <c r="K278"/>
  <c r="M278" s="1"/>
  <c r="O278"/>
  <c r="K275" i="94"/>
  <c r="M275"/>
  <c r="Q275"/>
  <c r="O275"/>
  <c r="I341" i="61"/>
  <c r="I408"/>
  <c r="C443"/>
  <c r="D443"/>
  <c r="B443"/>
  <c r="Q276" i="93"/>
  <c r="I286"/>
  <c r="O276"/>
  <c r="K276"/>
  <c r="M339" i="94"/>
  <c r="Q339"/>
  <c r="O339"/>
  <c r="K339"/>
  <c r="K345"/>
  <c r="Q345"/>
  <c r="O345"/>
  <c r="M345"/>
  <c r="M369"/>
  <c r="O369"/>
  <c r="Q369" s="1"/>
  <c r="K369"/>
  <c r="I371"/>
  <c r="K367"/>
  <c r="K371" s="1"/>
  <c r="M367"/>
  <c r="O367"/>
  <c r="Q367" s="1"/>
  <c r="Q352" i="93"/>
  <c r="K352"/>
  <c r="M352" s="1"/>
  <c r="O352"/>
  <c r="K341" i="94"/>
  <c r="Q341"/>
  <c r="M341"/>
  <c r="O341"/>
  <c r="M233" i="61"/>
  <c r="I402" s="1"/>
  <c r="I335"/>
  <c r="I310"/>
  <c r="O294"/>
  <c r="O310" s="1"/>
  <c r="Q294"/>
  <c r="U294"/>
  <c r="U310" s="1"/>
  <c r="M294"/>
  <c r="M310" s="1"/>
  <c r="K294"/>
  <c r="K310" s="1"/>
  <c r="S294"/>
  <c r="S310" s="1"/>
  <c r="Q280" i="93"/>
  <c r="O280"/>
  <c r="K280"/>
  <c r="M280" s="1"/>
  <c r="K302" i="91"/>
  <c r="I127"/>
  <c r="K127" s="1"/>
  <c r="K126"/>
  <c r="I128"/>
  <c r="K354" i="93"/>
  <c r="M354" s="1"/>
  <c r="Q354"/>
  <c r="O354"/>
  <c r="O348"/>
  <c r="K348"/>
  <c r="M348" s="1"/>
  <c r="Q348"/>
  <c r="K343" i="94"/>
  <c r="Q343"/>
  <c r="O343"/>
  <c r="M343"/>
  <c r="I373"/>
  <c r="I314"/>
  <c r="D442" i="61"/>
  <c r="B442"/>
  <c r="C442"/>
  <c r="Q346" i="93"/>
  <c r="I356"/>
  <c r="O346"/>
  <c r="K346"/>
  <c r="Q314"/>
  <c r="K314"/>
  <c r="M314" s="1"/>
  <c r="O314"/>
  <c r="K271" i="94"/>
  <c r="M271"/>
  <c r="Q271"/>
  <c r="O271"/>
  <c r="O277"/>
  <c r="K277"/>
  <c r="M277"/>
  <c r="Q277"/>
  <c r="K310"/>
  <c r="Q310"/>
  <c r="M310"/>
  <c r="O310"/>
  <c r="K308"/>
  <c r="K312" s="1"/>
  <c r="I312"/>
  <c r="Q308"/>
  <c r="O308"/>
  <c r="M308"/>
  <c r="Q282" i="93"/>
  <c r="K282"/>
  <c r="M282" s="1"/>
  <c r="O282"/>
  <c r="O273" i="94"/>
  <c r="K273"/>
  <c r="M273"/>
  <c r="Q273"/>
  <c r="I318"/>
  <c r="I377"/>
  <c r="Q370" i="61"/>
  <c r="Q386" s="1"/>
  <c r="O370"/>
  <c r="O386" s="1"/>
  <c r="S370"/>
  <c r="S386" s="1"/>
  <c r="U370"/>
  <c r="U386" s="1"/>
  <c r="M370"/>
  <c r="M386" s="1"/>
  <c r="K370"/>
  <c r="K386" s="1"/>
  <c r="I386"/>
  <c r="K350" i="93"/>
  <c r="M350" s="1"/>
  <c r="O350"/>
  <c r="Q350"/>
  <c r="I141"/>
  <c r="K141"/>
  <c r="M302" i="91"/>
  <c r="I148" i="61"/>
  <c r="K148" s="1"/>
  <c r="M217" i="91"/>
  <c r="I369" s="1"/>
  <c r="I133" i="93"/>
  <c r="K133"/>
  <c r="M220"/>
  <c r="I372" s="1"/>
  <c r="I269" i="94"/>
  <c r="O372" i="93" l="1"/>
  <c r="K372"/>
  <c r="Q372"/>
  <c r="I376"/>
  <c r="I380"/>
  <c r="I320"/>
  <c r="I283" i="94"/>
  <c r="O269"/>
  <c r="O283" s="1"/>
  <c r="K269"/>
  <c r="K283" s="1"/>
  <c r="M269"/>
  <c r="M283" s="1"/>
  <c r="Q269"/>
  <c r="Q283" s="1"/>
  <c r="I318" i="93"/>
  <c r="I378"/>
  <c r="M369" i="91"/>
  <c r="K369"/>
  <c r="O369"/>
  <c r="Q369"/>
  <c r="O318" i="94"/>
  <c r="Q318"/>
  <c r="M318"/>
  <c r="K318"/>
  <c r="M346" i="93"/>
  <c r="M356" s="1"/>
  <c r="K356"/>
  <c r="M373" i="94"/>
  <c r="K373"/>
  <c r="O373"/>
  <c r="Q373" s="1"/>
  <c r="C441" i="61"/>
  <c r="Q310"/>
  <c r="B441"/>
  <c r="D441"/>
  <c r="I351"/>
  <c r="I325"/>
  <c r="O402"/>
  <c r="U402"/>
  <c r="Q402"/>
  <c r="K402"/>
  <c r="K406" s="1"/>
  <c r="I406"/>
  <c r="S402"/>
  <c r="M402"/>
  <c r="K408"/>
  <c r="Q408"/>
  <c r="M408"/>
  <c r="U408"/>
  <c r="S408"/>
  <c r="O408"/>
  <c r="I277" i="91"/>
  <c r="I345"/>
  <c r="K349"/>
  <c r="Q349"/>
  <c r="M349"/>
  <c r="O349"/>
  <c r="I271"/>
  <c r="I339"/>
  <c r="Q281"/>
  <c r="K281"/>
  <c r="M281"/>
  <c r="O281"/>
  <c r="C444" i="61"/>
  <c r="B444"/>
  <c r="D444"/>
  <c r="K316" i="93"/>
  <c r="M312"/>
  <c r="M316" s="1"/>
  <c r="K128" i="91"/>
  <c r="Q371" i="94"/>
  <c r="O286" i="93"/>
  <c r="Q286"/>
  <c r="K296" i="91"/>
  <c r="M363"/>
  <c r="M351" i="94"/>
  <c r="Q351"/>
  <c r="O351"/>
  <c r="I345" i="61"/>
  <c r="I412"/>
  <c r="M377" i="94"/>
  <c r="O377"/>
  <c r="Q377" s="1"/>
  <c r="K377"/>
  <c r="K379" s="1"/>
  <c r="K381" s="1"/>
  <c r="Q312"/>
  <c r="M312"/>
  <c r="O312"/>
  <c r="O320" s="1"/>
  <c r="I320"/>
  <c r="K314"/>
  <c r="K320" s="1"/>
  <c r="O314"/>
  <c r="Q314"/>
  <c r="M314"/>
  <c r="I339" i="61"/>
  <c r="O335"/>
  <c r="K335"/>
  <c r="K339" s="1"/>
  <c r="Q335"/>
  <c r="M335"/>
  <c r="U335"/>
  <c r="S335"/>
  <c r="M371" i="94"/>
  <c r="M379" s="1"/>
  <c r="M381" s="1"/>
  <c r="O371"/>
  <c r="O379" s="1"/>
  <c r="O381" s="1"/>
  <c r="I379"/>
  <c r="I381" s="1"/>
  <c r="M276" i="93"/>
  <c r="M286" s="1"/>
  <c r="K286"/>
  <c r="I326"/>
  <c r="I301"/>
  <c r="O341" i="61"/>
  <c r="U341"/>
  <c r="Q341"/>
  <c r="M341"/>
  <c r="S341"/>
  <c r="K341"/>
  <c r="I275" i="91"/>
  <c r="I343"/>
  <c r="M229"/>
  <c r="I371" s="1"/>
  <c r="I229"/>
  <c r="I312" s="1"/>
  <c r="I168"/>
  <c r="I164"/>
  <c r="I217"/>
  <c r="I310" s="1"/>
  <c r="I134"/>
  <c r="K134" s="1"/>
  <c r="K132"/>
  <c r="I152"/>
  <c r="I279"/>
  <c r="I347"/>
  <c r="Q316" i="93"/>
  <c r="I322"/>
  <c r="O316"/>
  <c r="O356"/>
  <c r="Q356"/>
  <c r="K351" i="94"/>
  <c r="K347" i="91" l="1"/>
  <c r="Q347"/>
  <c r="O347"/>
  <c r="M347"/>
  <c r="M279"/>
  <c r="Q279"/>
  <c r="K279"/>
  <c r="O279"/>
  <c r="K312"/>
  <c r="M312"/>
  <c r="Q312"/>
  <c r="O312"/>
  <c r="Q343"/>
  <c r="K343"/>
  <c r="M343"/>
  <c r="O343"/>
  <c r="Q301" i="93"/>
  <c r="Q305" s="1"/>
  <c r="O301"/>
  <c r="O305" s="1"/>
  <c r="K301"/>
  <c r="I305"/>
  <c r="O345" i="61"/>
  <c r="U345"/>
  <c r="K345"/>
  <c r="S345"/>
  <c r="M345"/>
  <c r="Q345"/>
  <c r="Q271" i="91"/>
  <c r="O271"/>
  <c r="M271"/>
  <c r="K271"/>
  <c r="K277"/>
  <c r="Q277"/>
  <c r="O277"/>
  <c r="M277"/>
  <c r="I329" i="61"/>
  <c r="O325"/>
  <c r="O329" s="1"/>
  <c r="U325"/>
  <c r="U329" s="1"/>
  <c r="M325"/>
  <c r="M329" s="1"/>
  <c r="S325"/>
  <c r="S329" s="1"/>
  <c r="K325"/>
  <c r="K329" s="1"/>
  <c r="Q325"/>
  <c r="Q378" i="93"/>
  <c r="K378"/>
  <c r="M378" s="1"/>
  <c r="O378"/>
  <c r="I298" i="94"/>
  <c r="O380" i="93"/>
  <c r="K380"/>
  <c r="M380" s="1"/>
  <c r="Q380"/>
  <c r="I324"/>
  <c r="I136" i="91"/>
  <c r="K136" s="1"/>
  <c r="M320" i="94"/>
  <c r="Q379"/>
  <c r="Q381" s="1"/>
  <c r="I273" i="91"/>
  <c r="I341"/>
  <c r="I314"/>
  <c r="K310"/>
  <c r="K314" s="1"/>
  <c r="O310"/>
  <c r="Q310"/>
  <c r="M310"/>
  <c r="K371"/>
  <c r="K373" s="1"/>
  <c r="O371"/>
  <c r="Q371"/>
  <c r="M371"/>
  <c r="K275"/>
  <c r="Q275"/>
  <c r="M275"/>
  <c r="O275"/>
  <c r="D445" i="61"/>
  <c r="C445"/>
  <c r="I328" i="93"/>
  <c r="K326"/>
  <c r="M326" s="1"/>
  <c r="O326"/>
  <c r="Q326"/>
  <c r="O339" i="61"/>
  <c r="O347" s="1"/>
  <c r="O349" s="1"/>
  <c r="Q339"/>
  <c r="Q347" s="1"/>
  <c r="S339"/>
  <c r="S347" s="1"/>
  <c r="S349" s="1"/>
  <c r="M339"/>
  <c r="M347" s="1"/>
  <c r="M349" s="1"/>
  <c r="U339"/>
  <c r="U347" s="1"/>
  <c r="U349" s="1"/>
  <c r="I347"/>
  <c r="I349" s="1"/>
  <c r="K412"/>
  <c r="K414" s="1"/>
  <c r="K416" s="1"/>
  <c r="Q412"/>
  <c r="U412"/>
  <c r="M412"/>
  <c r="S412"/>
  <c r="O412"/>
  <c r="I316" i="91"/>
  <c r="I375"/>
  <c r="Q339"/>
  <c r="K339"/>
  <c r="I353"/>
  <c r="M339"/>
  <c r="O339"/>
  <c r="K345"/>
  <c r="O345"/>
  <c r="M345"/>
  <c r="Q345"/>
  <c r="O406" i="61"/>
  <c r="O414" s="1"/>
  <c r="O416" s="1"/>
  <c r="Q406"/>
  <c r="Q414" s="1"/>
  <c r="Q416" s="1"/>
  <c r="M406"/>
  <c r="M414" s="1"/>
  <c r="M416" s="1"/>
  <c r="I414"/>
  <c r="I416" s="1"/>
  <c r="U406"/>
  <c r="U414" s="1"/>
  <c r="U416" s="1"/>
  <c r="S406"/>
  <c r="S414" s="1"/>
  <c r="S416" s="1"/>
  <c r="I353"/>
  <c r="K351"/>
  <c r="Q318" i="93"/>
  <c r="Q322" s="1"/>
  <c r="Q324" s="1"/>
  <c r="O318"/>
  <c r="O322" s="1"/>
  <c r="O324" s="1"/>
  <c r="K318"/>
  <c r="M318" s="1"/>
  <c r="M322" s="1"/>
  <c r="Q320"/>
  <c r="O320"/>
  <c r="K320"/>
  <c r="M320" s="1"/>
  <c r="Q376"/>
  <c r="Q382" s="1"/>
  <c r="Q384" s="1"/>
  <c r="I382"/>
  <c r="I384" s="1"/>
  <c r="O376"/>
  <c r="O382" s="1"/>
  <c r="O384" s="1"/>
  <c r="K376"/>
  <c r="K382" s="1"/>
  <c r="K384" s="1"/>
  <c r="M372"/>
  <c r="M376" s="1"/>
  <c r="M382" s="1"/>
  <c r="M384" s="1"/>
  <c r="K347" i="61"/>
  <c r="K349" s="1"/>
  <c r="Q320" i="94"/>
  <c r="I373" i="91"/>
  <c r="I355" i="61" l="1"/>
  <c r="K355" s="1"/>
  <c r="K353"/>
  <c r="O375" i="91"/>
  <c r="Q375"/>
  <c r="M375"/>
  <c r="K375"/>
  <c r="O314"/>
  <c r="Q314"/>
  <c r="M314"/>
  <c r="K273"/>
  <c r="Q273"/>
  <c r="M273"/>
  <c r="O273"/>
  <c r="I379"/>
  <c r="I320"/>
  <c r="I322" s="1"/>
  <c r="Q329" i="61"/>
  <c r="D446"/>
  <c r="K322" i="93"/>
  <c r="Q349" i="61"/>
  <c r="M285" i="91"/>
  <c r="Q285"/>
  <c r="I381"/>
  <c r="I383" s="1"/>
  <c r="M373"/>
  <c r="O373"/>
  <c r="Q373"/>
  <c r="S351" i="61"/>
  <c r="U351" s="1"/>
  <c r="M351"/>
  <c r="O351"/>
  <c r="Q351" s="1"/>
  <c r="Q316" i="91"/>
  <c r="O316"/>
  <c r="M316"/>
  <c r="K316"/>
  <c r="I330" i="93"/>
  <c r="O328"/>
  <c r="K328"/>
  <c r="M328" s="1"/>
  <c r="Q328"/>
  <c r="Q341" i="91"/>
  <c r="O341"/>
  <c r="K341"/>
  <c r="K353" s="1"/>
  <c r="M341"/>
  <c r="M353" s="1"/>
  <c r="K298" i="94"/>
  <c r="K302" s="1"/>
  <c r="M298"/>
  <c r="M302" s="1"/>
  <c r="M324" s="1"/>
  <c r="M326" s="1"/>
  <c r="M328" s="1"/>
  <c r="O298"/>
  <c r="O302" s="1"/>
  <c r="Q298"/>
  <c r="Q302" s="1"/>
  <c r="Q324" s="1"/>
  <c r="Q326" s="1"/>
  <c r="Q328" s="1"/>
  <c r="I302"/>
  <c r="M301" i="93"/>
  <c r="M305" s="1"/>
  <c r="M324" s="1"/>
  <c r="K305"/>
  <c r="O353" i="91"/>
  <c r="Q353"/>
  <c r="D448" i="61"/>
  <c r="K285" i="91"/>
  <c r="O285"/>
  <c r="I285"/>
  <c r="I326" l="1"/>
  <c r="I300"/>
  <c r="E442" i="61"/>
  <c r="E443"/>
  <c r="E444"/>
  <c r="E441"/>
  <c r="E448" s="1"/>
  <c r="O379" i="91"/>
  <c r="M379"/>
  <c r="Q379"/>
  <c r="K379"/>
  <c r="K381" s="1"/>
  <c r="K383" s="1"/>
  <c r="S355" i="61"/>
  <c r="U355" s="1"/>
  <c r="O355"/>
  <c r="Q355" s="1"/>
  <c r="M355"/>
  <c r="E445"/>
  <c r="O381" i="91"/>
  <c r="O383" s="1"/>
  <c r="Q322" i="94"/>
  <c r="I322"/>
  <c r="I324"/>
  <c r="I326" s="1"/>
  <c r="I328" s="1"/>
  <c r="O322"/>
  <c r="O324"/>
  <c r="O326" s="1"/>
  <c r="O328" s="1"/>
  <c r="K324"/>
  <c r="K326" s="1"/>
  <c r="K328" s="1"/>
  <c r="K322"/>
  <c r="K330" i="93"/>
  <c r="M330" s="1"/>
  <c r="Q330"/>
  <c r="O330"/>
  <c r="D453" i="61"/>
  <c r="D450"/>
  <c r="E446"/>
  <c r="K320" i="91"/>
  <c r="K322" s="1"/>
  <c r="Q320"/>
  <c r="Q322" s="1"/>
  <c r="O320"/>
  <c r="M320"/>
  <c r="S353" i="61"/>
  <c r="U353" s="1"/>
  <c r="O353"/>
  <c r="Q353" s="1"/>
  <c r="M353"/>
  <c r="Q381" i="91"/>
  <c r="Q383" s="1"/>
  <c r="M381"/>
  <c r="M383" s="1"/>
  <c r="M322" i="94"/>
  <c r="K324" i="93"/>
  <c r="M322" i="91"/>
  <c r="O322"/>
  <c r="I328" l="1"/>
  <c r="O326"/>
  <c r="M326"/>
  <c r="Q326"/>
  <c r="K326"/>
  <c r="I304"/>
  <c r="I324" s="1"/>
  <c r="O300"/>
  <c r="O304" s="1"/>
  <c r="O324" s="1"/>
  <c r="Q300"/>
  <c r="Q304" s="1"/>
  <c r="Q324" s="1"/>
  <c r="M300"/>
  <c r="M304" s="1"/>
  <c r="M324" s="1"/>
  <c r="K300"/>
  <c r="K304" s="1"/>
  <c r="K324" s="1"/>
  <c r="K328" l="1"/>
  <c r="I330"/>
  <c r="Q328"/>
  <c r="O328"/>
  <c r="M328"/>
  <c r="Q330" l="1"/>
  <c r="O330"/>
  <c r="M330"/>
  <c r="K330"/>
</calcChain>
</file>

<file path=xl/sharedStrings.xml><?xml version="1.0" encoding="utf-8"?>
<sst xmlns="http://schemas.openxmlformats.org/spreadsheetml/2006/main" count="2159" uniqueCount="939">
  <si>
    <t>37a.</t>
  </si>
  <si>
    <r>
      <t>Plus</t>
    </r>
    <r>
      <rPr>
        <b/>
        <sz val="18"/>
        <rFont val="Arial"/>
        <family val="2"/>
      </rPr>
      <t xml:space="preserve"> spares allowance:        </t>
    </r>
  </si>
  <si>
    <t>37b.</t>
  </si>
  <si>
    <r>
      <t>Equals</t>
    </r>
    <r>
      <rPr>
        <b/>
        <sz val="18"/>
        <rFont val="Arial"/>
        <family val="2"/>
      </rPr>
      <t xml:space="preserve"> gross commitment of locomotives to traffic (No):</t>
    </r>
  </si>
  <si>
    <t>Total</t>
  </si>
  <si>
    <t>51a.</t>
  </si>
  <si>
    <t>per annum</t>
  </si>
  <si>
    <t>Rounded</t>
  </si>
  <si>
    <t>Other freight</t>
  </si>
  <si>
    <t>Other Freight</t>
  </si>
  <si>
    <t>Elapsed Time (Origin-Destination) in hours</t>
  </si>
  <si>
    <t xml:space="preserve">             [Includes all en-route stopping time]</t>
  </si>
  <si>
    <t xml:space="preserve">       Average (Commercial) Speed</t>
  </si>
  <si>
    <t>hours per year</t>
  </si>
  <si>
    <t>Category</t>
  </si>
  <si>
    <t>Shunting loco drivers</t>
  </si>
  <si>
    <t>(litres)</t>
  </si>
  <si>
    <t xml:space="preserve">  Fuel type/unit</t>
  </si>
  <si>
    <t>Pax</t>
  </si>
  <si>
    <t>Shipping Containers</t>
  </si>
  <si>
    <t>Item</t>
  </si>
  <si>
    <t>Financial</t>
  </si>
  <si>
    <t>Economic</t>
  </si>
  <si>
    <t>57a.</t>
  </si>
  <si>
    <t>75a.</t>
  </si>
  <si>
    <t>Cost of delivery of container cargo to final destination</t>
  </si>
  <si>
    <t>96a.</t>
  </si>
  <si>
    <t>Traffic type</t>
  </si>
  <si>
    <t>Hilly</t>
  </si>
  <si>
    <t>Flat</t>
  </si>
  <si>
    <t>Terrain type</t>
  </si>
  <si>
    <t>Annual tonnage to be hauled (forward)</t>
  </si>
  <si>
    <t>tonnes</t>
  </si>
  <si>
    <t>Average TEU payload (forward)</t>
  </si>
  <si>
    <t xml:space="preserve">Average TEU payload (backhaul) </t>
  </si>
  <si>
    <t>Average TEU tare weight</t>
  </si>
  <si>
    <t>Annual tonnage to be hauled (backhaul)</t>
  </si>
  <si>
    <t>Annual TEU volume to be hauled (forward)</t>
  </si>
  <si>
    <t>Annual TEU volume to be hauled (backhaul)</t>
  </si>
  <si>
    <t>One-way loading? (Indicate 1 for "yes" and 2 for "no")</t>
  </si>
  <si>
    <t>If "no=2" above, indicate proportion of backhaul loading</t>
  </si>
  <si>
    <t>Locomotive type, HP rating and number per train:</t>
  </si>
  <si>
    <t>Average (commercial) speed - km per hour</t>
  </si>
  <si>
    <t>Required net commitment of wagons to traffic (No):</t>
  </si>
  <si>
    <r>
      <t>Plus</t>
    </r>
    <r>
      <rPr>
        <b/>
        <sz val="18"/>
        <rFont val="Arial"/>
        <family val="2"/>
      </rPr>
      <t xml:space="preserve"> spares allowance (for maint.):        </t>
    </r>
  </si>
  <si>
    <r>
      <t>Equals</t>
    </r>
    <r>
      <rPr>
        <b/>
        <sz val="18"/>
        <rFont val="Arial"/>
        <family val="2"/>
      </rPr>
      <t xml:space="preserve"> gross commitment of wagons to traffic (No):</t>
    </r>
  </si>
  <si>
    <t>Type/HP</t>
  </si>
  <si>
    <t>Gross tonnage per wagon - forward haul</t>
  </si>
  <si>
    <t>Gross tonnage per wagon - back haul</t>
  </si>
  <si>
    <t>tonnes - forward haul</t>
  </si>
  <si>
    <t>tonnes - backhaul</t>
  </si>
  <si>
    <t>21a.</t>
  </si>
  <si>
    <t>21b.</t>
  </si>
  <si>
    <t>Gross trailing tonnage per train - forward haul</t>
  </si>
  <si>
    <t>Gross trailing tonnage per train - back haul</t>
  </si>
  <si>
    <t>Gross tonnage per train (incl. weight of locomotives) - forward</t>
  </si>
  <si>
    <t>Gross tonnage per train (incl. weight of locomotives) - back</t>
  </si>
  <si>
    <t>23a.</t>
  </si>
  <si>
    <t>28a.</t>
  </si>
  <si>
    <t>28b.</t>
  </si>
  <si>
    <t>Wagon Turnround (single trip):</t>
  </si>
  <si>
    <t>Locomotive-km per year, '000</t>
  </si>
  <si>
    <t>Gross trailing tonne-km (GTTK) per year, '000</t>
  </si>
  <si>
    <t>Fuel consumption quantity, litres per year</t>
  </si>
  <si>
    <t>Station staffing cost per route-km per year</t>
  </si>
  <si>
    <t>Gross tonne-km (incl. loco weight) per year, '000</t>
  </si>
  <si>
    <t>10a.</t>
  </si>
  <si>
    <t>Annual number of passengers carried on busiest section (both directions)</t>
  </si>
  <si>
    <t>Annual number of passengers carried on busiest section (forward)</t>
  </si>
  <si>
    <t>Annual number of passengers carried on busiest section (return)</t>
  </si>
  <si>
    <t>Annual number of passengers carried on entire route (both directions)</t>
  </si>
  <si>
    <t>30a.</t>
  </si>
  <si>
    <t>Plus 25% spare allowance</t>
  </si>
  <si>
    <t>Required net commitment of mainline locomotive(s) to traffic (No):</t>
  </si>
  <si>
    <t>30b.</t>
  </si>
  <si>
    <t>Required gross commitment of mainline locomotive(s) to traffic (No):</t>
  </si>
  <si>
    <t>Required gross commitment of carriages to traffic (No):</t>
  </si>
  <si>
    <t>Unit cost of wagon maintenance, per wagon km</t>
  </si>
  <si>
    <t>Train-km per year, '000</t>
  </si>
  <si>
    <t>FINANCIAL AND ECONOMIC COSTING PARAMETERS</t>
  </si>
  <si>
    <t>Financial Costs</t>
  </si>
  <si>
    <t>Economic Costs</t>
  </si>
  <si>
    <r>
      <t xml:space="preserve">  </t>
    </r>
    <r>
      <rPr>
        <i/>
        <sz val="18"/>
        <rFont val="Arial"/>
        <family val="2"/>
      </rPr>
      <t>Shadow pricing</t>
    </r>
  </si>
  <si>
    <t xml:space="preserve">         factor</t>
  </si>
  <si>
    <t>Level crossing barrier guard cost, per year</t>
  </si>
  <si>
    <t>Station spacing along route (km)</t>
  </si>
  <si>
    <t>Number of stations</t>
  </si>
  <si>
    <t>Additional number of trains using this route, per year</t>
  </si>
  <si>
    <t>Total number of trains per year using this route</t>
  </si>
  <si>
    <t>Permanent way</t>
  </si>
  <si>
    <t>Permanent way - unit construction cost (SR per route-km)</t>
  </si>
  <si>
    <t>Single or Double Track?</t>
  </si>
  <si>
    <t>(NB. Choose appropriate cost depending on single or double</t>
  </si>
  <si>
    <t>worksheet "sysdata")</t>
  </si>
  <si>
    <t>Permanent way depreciable life (years)</t>
  </si>
  <si>
    <t>Permanent way residual value as % of initial cost</t>
  </si>
  <si>
    <t>Permanent way infrastructure</t>
  </si>
  <si>
    <t>Station and other building infrastructure</t>
  </si>
  <si>
    <t>Buildings depreciable life (years)</t>
  </si>
  <si>
    <t>Buildings residual value as % of initial cost</t>
  </si>
  <si>
    <t>Bulk Cement</t>
  </si>
  <si>
    <t>Cement tank wagon</t>
  </si>
  <si>
    <t>D1.</t>
  </si>
  <si>
    <t>O&amp;M COSTS (Variable)</t>
  </si>
  <si>
    <t>tonne</t>
  </si>
  <si>
    <t xml:space="preserve">Per train </t>
  </si>
  <si>
    <t>trip</t>
  </si>
  <si>
    <t>For route per year</t>
  </si>
  <si>
    <t>Wagon-km per year, '000</t>
  </si>
  <si>
    <t>COST  RESULTS - FINANCIAL</t>
  </si>
  <si>
    <t>SUB-TOTAL, O&amp;M COST (variable)</t>
  </si>
  <si>
    <t>TEU (containers) - forward</t>
  </si>
  <si>
    <t>TEU (containers) - back</t>
  </si>
  <si>
    <t>Number of TEU - forward</t>
  </si>
  <si>
    <t>Number of TEU - back</t>
  </si>
  <si>
    <t>Wagon type and number per train (both directions):</t>
  </si>
  <si>
    <t>28c.</t>
  </si>
  <si>
    <t>tonnes - forward</t>
  </si>
  <si>
    <t>tonnes-back</t>
  </si>
  <si>
    <t>28d.</t>
  </si>
  <si>
    <t>28f.</t>
  </si>
  <si>
    <t>TEU (containers) - average both directions</t>
  </si>
  <si>
    <t>tonnes-average both directions</t>
  </si>
  <si>
    <t>D2.</t>
  </si>
  <si>
    <t>O&amp;M COSTS (Fixed)</t>
  </si>
  <si>
    <t>Train hours per year</t>
  </si>
  <si>
    <t>Station operating cost</t>
  </si>
  <si>
    <t>Level crossing barrier guard cost</t>
  </si>
  <si>
    <t>76.</t>
  </si>
  <si>
    <t>D3.</t>
  </si>
  <si>
    <t>SUB-TOTAL, O&amp;M COST (fixed)</t>
  </si>
  <si>
    <t>Buildings</t>
  </si>
  <si>
    <t>77.</t>
  </si>
  <si>
    <t>Total infrastructure capital</t>
  </si>
  <si>
    <t>78.</t>
  </si>
  <si>
    <t>79.</t>
  </si>
  <si>
    <t>80.</t>
  </si>
  <si>
    <t>SUB-TOTAL, CAPITAL COST</t>
  </si>
  <si>
    <t>OVERHEADS</t>
  </si>
  <si>
    <t xml:space="preserve">Administrative overhead cost           </t>
  </si>
  <si>
    <t xml:space="preserve"> of O&amp;M Cost</t>
  </si>
  <si>
    <t xml:space="preserve">Insurance </t>
  </si>
  <si>
    <t>D4.</t>
  </si>
  <si>
    <t>SUB-TOTAL, OVERHEADS</t>
  </si>
  <si>
    <t>Terminal handling expenses, Riyadh Dry Port</t>
  </si>
  <si>
    <t>58a.</t>
  </si>
  <si>
    <t>59b.</t>
  </si>
  <si>
    <t>59c.</t>
  </si>
  <si>
    <t>58b.</t>
  </si>
  <si>
    <t>58c.</t>
  </si>
  <si>
    <t>58d.</t>
  </si>
  <si>
    <t>81.</t>
  </si>
  <si>
    <t>82.</t>
  </si>
  <si>
    <t>E.</t>
  </si>
  <si>
    <t>COST  RESULTS - ECONOMIC</t>
  </si>
  <si>
    <t>E1.</t>
  </si>
  <si>
    <t>RAILWAY CONTAINER TRAFFIC COSTING SUB-MODEL</t>
  </si>
  <si>
    <r>
      <t>PHYSICAL COSTING PARAMETERS</t>
    </r>
    <r>
      <rPr>
        <b/>
        <i/>
        <sz val="18"/>
        <rFont val="Arial"/>
        <family val="2"/>
      </rPr>
      <t xml:space="preserve"> (continued)</t>
    </r>
  </si>
  <si>
    <r>
      <t>FINANCIAL AND ECONOMIC COSTING PARAMETERS</t>
    </r>
    <r>
      <rPr>
        <b/>
        <i/>
        <sz val="18"/>
        <rFont val="Arial"/>
        <family val="2"/>
      </rPr>
      <t xml:space="preserve">  (continued)</t>
    </r>
  </si>
  <si>
    <t>87.</t>
  </si>
  <si>
    <t>88.</t>
  </si>
  <si>
    <t>89.</t>
  </si>
  <si>
    <t>90.</t>
  </si>
  <si>
    <t>E2.</t>
  </si>
  <si>
    <t>92.</t>
  </si>
  <si>
    <t>93.</t>
  </si>
  <si>
    <t>94.</t>
  </si>
  <si>
    <t>95.</t>
  </si>
  <si>
    <t>E3.</t>
  </si>
  <si>
    <t>96.</t>
  </si>
  <si>
    <t>97.</t>
  </si>
  <si>
    <t>98.</t>
  </si>
  <si>
    <t>99.</t>
  </si>
  <si>
    <t>Includes allowance for maintenance downtime and idle time between services</t>
  </si>
  <si>
    <t>Mainline locomotive running time per single trip (hours):</t>
  </si>
  <si>
    <t>Mainline locomotive running time (hours per year):</t>
  </si>
  <si>
    <t>Mainline locomotive availability (hours per year)</t>
  </si>
  <si>
    <t>Required commitment of mainline locomotive(s) to traffic (No):</t>
  </si>
  <si>
    <t xml:space="preserve">Container </t>
  </si>
  <si>
    <t>Estimated requirement of shunting locomotives (incl.spares)</t>
  </si>
  <si>
    <t>59a.</t>
  </si>
  <si>
    <t>83.</t>
  </si>
  <si>
    <t>Mainline locomotive purchase cost, per loco unit</t>
  </si>
  <si>
    <t>Mainline locomotive depreciable life (years)</t>
  </si>
  <si>
    <t>Mainline locomotive residual value as % of initial cost</t>
  </si>
  <si>
    <t>Shunting locomotive purchase cost, per loco unit</t>
  </si>
  <si>
    <t>Shunting locomotive depreciable life (years)</t>
  </si>
  <si>
    <t>Shunting locomotive residual value as % of initial cost</t>
  </si>
  <si>
    <t>Shunting locomotive capital</t>
  </si>
  <si>
    <t>Mainline locomotive capital</t>
  </si>
  <si>
    <t>track indication [see cell ref. I171] and terrain type - from</t>
  </si>
  <si>
    <t>84a.</t>
  </si>
  <si>
    <t>85b.</t>
  </si>
  <si>
    <t>100.</t>
  </si>
  <si>
    <t>101.</t>
  </si>
  <si>
    <t>102.</t>
  </si>
  <si>
    <t>103.</t>
  </si>
  <si>
    <t>104.</t>
  </si>
  <si>
    <t>105.</t>
  </si>
  <si>
    <t>106.</t>
  </si>
  <si>
    <t>RAILWAY GENERAL FREIGHT TRAFFIC COSTING SUB-MODEL</t>
  </si>
  <si>
    <t>Annual tonnage to be hauled (both directions)</t>
  </si>
  <si>
    <t>11a.</t>
  </si>
  <si>
    <t>Payload utilisation rate - forward</t>
  </si>
  <si>
    <t>11b.</t>
  </si>
  <si>
    <t>Payload utilisation rate - back</t>
  </si>
  <si>
    <t>11c.</t>
  </si>
  <si>
    <t>11d.</t>
  </si>
  <si>
    <r>
      <t xml:space="preserve">PHYSICAL COSTING PARAMETERS </t>
    </r>
    <r>
      <rPr>
        <b/>
        <i/>
        <sz val="18"/>
        <rFont val="Arial"/>
        <family val="2"/>
      </rPr>
      <t>(continued)</t>
    </r>
  </si>
  <si>
    <t>Train-km</t>
  </si>
  <si>
    <t xml:space="preserve">TOTAL </t>
  </si>
  <si>
    <t>RAILWAY PASSENGER TRAFFIC COSTING SUB-MODEL</t>
  </si>
  <si>
    <t>Passengers</t>
  </si>
  <si>
    <t>Train trip distance</t>
  </si>
  <si>
    <t>Balanced passenger loading per direction? (Indicate 1 for "yes" and 2 for "no")</t>
  </si>
  <si>
    <t>If "no=2" above, indicate proportion of return loading</t>
  </si>
  <si>
    <t>pax</t>
  </si>
  <si>
    <t>Seat loadings per carriage</t>
  </si>
  <si>
    <t>Load factor - forward</t>
  </si>
  <si>
    <t>Load factor - return</t>
  </si>
  <si>
    <t>passengers per car - forward journey</t>
  </si>
  <si>
    <t>passengers per car - return journey</t>
  </si>
  <si>
    <t>Carriage type and number per train (both directions):</t>
  </si>
  <si>
    <t>Gross tonnage per car - forward journey</t>
  </si>
  <si>
    <t>Gross tonnage per car - return journey</t>
  </si>
  <si>
    <t>Gross trailing tonnage per train - forward journey</t>
  </si>
  <si>
    <t>Gross trailing tonnage per train - return journey</t>
  </si>
  <si>
    <t>Gross tonnage per train (incl. weight of locomotives) - return</t>
  </si>
  <si>
    <t>Passenger loading per train</t>
  </si>
  <si>
    <t>pax - forward</t>
  </si>
  <si>
    <t>pax - return</t>
  </si>
  <si>
    <t>pax-average both directions</t>
  </si>
  <si>
    <t>Train preparation and loading/unloading (hours)</t>
  </si>
  <si>
    <t>22a.</t>
  </si>
  <si>
    <t>22b.</t>
  </si>
  <si>
    <t>22c.</t>
  </si>
  <si>
    <t>26a.</t>
  </si>
  <si>
    <t>26b.</t>
  </si>
  <si>
    <t>26c.</t>
  </si>
  <si>
    <t>26d.</t>
  </si>
  <si>
    <t>26e.</t>
  </si>
  <si>
    <t>26f.</t>
  </si>
  <si>
    <t>33a.</t>
  </si>
  <si>
    <t>33b.</t>
  </si>
  <si>
    <t>54a.</t>
  </si>
  <si>
    <t>track indication [see cell ref. I153] and terrain type - from</t>
  </si>
  <si>
    <t>54b.</t>
  </si>
  <si>
    <t>54c.</t>
  </si>
  <si>
    <t>54d.</t>
  </si>
  <si>
    <t>55a.</t>
  </si>
  <si>
    <t>55b.</t>
  </si>
  <si>
    <t>55c.</t>
  </si>
  <si>
    <t>55d.</t>
  </si>
  <si>
    <t>80a.</t>
  </si>
  <si>
    <t>80b.</t>
  </si>
  <si>
    <t>80c.</t>
  </si>
  <si>
    <t>84.</t>
  </si>
  <si>
    <t>85.  GRAND TOTAL - FULLY ALLOCATED COST</t>
  </si>
  <si>
    <t>86.</t>
  </si>
  <si>
    <t>91.</t>
  </si>
  <si>
    <t>98a.</t>
  </si>
  <si>
    <t>98b.</t>
  </si>
  <si>
    <t>98c.</t>
  </si>
  <si>
    <t>103.  GRAND TOTAL - FULLY ALLOCATED COST</t>
  </si>
  <si>
    <t>Passenger carriage availability (hours per year)</t>
  </si>
  <si>
    <t>Passenger carriage running time (car hours per year)</t>
  </si>
  <si>
    <t>Mainline locomotive running time (locomotive hours per year):</t>
  </si>
  <si>
    <t>Required net commitment of carriages to traffic (No):</t>
  </si>
  <si>
    <t>Unit cost of carriage maintenance, per car-km</t>
  </si>
  <si>
    <t>2.    CALCULATION OF GROSS PASSING TONNAGE AND GROSS TONNE-KM (GTK)</t>
  </si>
  <si>
    <t>Proportion of track capital cost borne by this traffic</t>
  </si>
  <si>
    <t>Based on GTK -see worksheet "sysdata"</t>
  </si>
  <si>
    <t>Proportion of station capital and operating cost borne by this tfc</t>
  </si>
  <si>
    <t>Infrastructure parameters</t>
  </si>
  <si>
    <t>track indication [see cell ref. I175] and terrain type - from</t>
  </si>
  <si>
    <t>Total permanent way capital cost attributable to this traffic</t>
  </si>
  <si>
    <t>Total buildings capital cost (attributable to this traffic)</t>
  </si>
  <si>
    <t>32a.</t>
  </si>
  <si>
    <t>32b.</t>
  </si>
  <si>
    <t>32c.</t>
  </si>
  <si>
    <t>32d.</t>
  </si>
  <si>
    <t>32e.</t>
  </si>
  <si>
    <t>32f.</t>
  </si>
  <si>
    <t>39a.</t>
  </si>
  <si>
    <t>39b.</t>
  </si>
  <si>
    <t>47a.</t>
  </si>
  <si>
    <t>47b.</t>
  </si>
  <si>
    <t>47c.</t>
  </si>
  <si>
    <t>47d.</t>
  </si>
  <si>
    <t>47e.</t>
  </si>
  <si>
    <t>84b.</t>
  </si>
  <si>
    <t>84c.</t>
  </si>
  <si>
    <t>85.</t>
  </si>
  <si>
    <t>89.  GRAND TOTAL - FULLY ALLOCATED COST</t>
  </si>
  <si>
    <t>102a.</t>
  </si>
  <si>
    <t>102b.</t>
  </si>
  <si>
    <t>102c.</t>
  </si>
  <si>
    <t>107.  GRAND TOTAL - FULLY ALLOCATED COST</t>
  </si>
  <si>
    <t>41a.</t>
  </si>
  <si>
    <t>41b.</t>
  </si>
  <si>
    <t>41c.</t>
  </si>
  <si>
    <t>Proportion of station capital and operating cost borne by this traffic</t>
  </si>
  <si>
    <t>41d.</t>
  </si>
  <si>
    <t>41e.</t>
  </si>
  <si>
    <t>Total permanent way capital cost (attributable to this traffic)</t>
  </si>
  <si>
    <t>Passenger carriages</t>
  </si>
  <si>
    <t>Car purchase cost, per unit</t>
  </si>
  <si>
    <t>Car economic or depreciable life (years)</t>
  </si>
  <si>
    <t>Car residual value as % of initial cost</t>
  </si>
  <si>
    <t>Per car trip</t>
  </si>
  <si>
    <t>Per train trip</t>
  </si>
  <si>
    <t>Per passenger</t>
  </si>
  <si>
    <t>Per pax-km</t>
  </si>
  <si>
    <t>Carriage capital</t>
  </si>
  <si>
    <t>Carriage maintenance</t>
  </si>
  <si>
    <t>Average passenger trip distance (km)</t>
  </si>
  <si>
    <t>Figure derived from SRO statistics for 2001</t>
  </si>
  <si>
    <t>12c.</t>
  </si>
  <si>
    <t>12d.</t>
  </si>
  <si>
    <t>13a.</t>
  </si>
  <si>
    <t>13b.</t>
  </si>
  <si>
    <t>16a.</t>
  </si>
  <si>
    <t>16b.</t>
  </si>
  <si>
    <t>23b.</t>
  </si>
  <si>
    <t>23c.</t>
  </si>
  <si>
    <t>24a.</t>
  </si>
  <si>
    <t>24b.</t>
  </si>
  <si>
    <t>25a.</t>
  </si>
  <si>
    <t>25b.</t>
  </si>
  <si>
    <t>25c.</t>
  </si>
  <si>
    <t>25d.</t>
  </si>
  <si>
    <t>25e.</t>
  </si>
  <si>
    <t>25f.</t>
  </si>
  <si>
    <t>50a.</t>
  </si>
  <si>
    <t>50b.</t>
  </si>
  <si>
    <t>50c.</t>
  </si>
  <si>
    <t>50d.</t>
  </si>
  <si>
    <t>51b.</t>
  </si>
  <si>
    <t>51c.</t>
  </si>
  <si>
    <t>70a.</t>
  </si>
  <si>
    <t>70b.</t>
  </si>
  <si>
    <t>70c.</t>
  </si>
  <si>
    <t>74.  GRAND TOTAL - FULLY ALLOCATED COST</t>
  </si>
  <si>
    <t>85a.</t>
  </si>
  <si>
    <t>85c.</t>
  </si>
  <si>
    <t>Insurance</t>
  </si>
  <si>
    <t>Assume spread across train-km</t>
  </si>
  <si>
    <t>Train-Km</t>
  </si>
  <si>
    <t>Notes</t>
  </si>
  <si>
    <t>Station infrastructure</t>
  </si>
  <si>
    <t/>
  </si>
  <si>
    <t>6.</t>
  </si>
  <si>
    <t xml:space="preserve">    Per TEU -km</t>
  </si>
  <si>
    <t>COST DATA FOR LINE SECTIONS AND OPERATING ASSETS</t>
  </si>
  <si>
    <t>COSTING PREPARED BY:</t>
  </si>
  <si>
    <t>DATE:</t>
  </si>
  <si>
    <t xml:space="preserve">NOTE!  </t>
  </si>
  <si>
    <t>Cells coloured blue require data inputs.</t>
  </si>
  <si>
    <t>1.    ROUTE  DATA</t>
  </si>
  <si>
    <t>From:</t>
  </si>
  <si>
    <t>To:</t>
  </si>
  <si>
    <t>[Km/hour]</t>
  </si>
  <si>
    <t>Ref. No.</t>
  </si>
  <si>
    <t xml:space="preserve">Gross </t>
  </si>
  <si>
    <t xml:space="preserve"> Maint.</t>
  </si>
  <si>
    <t>Available</t>
  </si>
  <si>
    <t>Type</t>
  </si>
  <si>
    <t>Weight</t>
  </si>
  <si>
    <t xml:space="preserve"> Cost</t>
  </si>
  <si>
    <t xml:space="preserve">    Hours,</t>
  </si>
  <si>
    <t>(tonnes)</t>
  </si>
  <si>
    <t xml:space="preserve">  Passenger</t>
  </si>
  <si>
    <t>per year</t>
  </si>
  <si>
    <t xml:space="preserve">      1</t>
  </si>
  <si>
    <t xml:space="preserve">      2</t>
  </si>
  <si>
    <t xml:space="preserve">      3</t>
  </si>
  <si>
    <t xml:space="preserve">      4</t>
  </si>
  <si>
    <t xml:space="preserve">   Length</t>
  </si>
  <si>
    <t xml:space="preserve">      TEU</t>
  </si>
  <si>
    <t xml:space="preserve">   (metres)</t>
  </si>
  <si>
    <t>Ref. No</t>
  </si>
  <si>
    <t xml:space="preserve">  Seat Cap.</t>
  </si>
  <si>
    <t xml:space="preserve">  Availability</t>
  </si>
  <si>
    <t xml:space="preserve">  (Number)</t>
  </si>
  <si>
    <t xml:space="preserve">       Rate</t>
  </si>
  <si>
    <t xml:space="preserve">  per year</t>
  </si>
  <si>
    <t xml:space="preserve">    Ref. No.</t>
  </si>
  <si>
    <t xml:space="preserve">           1</t>
  </si>
  <si>
    <t xml:space="preserve">           2</t>
  </si>
  <si>
    <t xml:space="preserve">           3</t>
  </si>
  <si>
    <t xml:space="preserve"> Ref. No.</t>
  </si>
  <si>
    <t xml:space="preserve">     Diesel/litre </t>
  </si>
  <si>
    <t>COSTING SUBJECT:</t>
  </si>
  <si>
    <t xml:space="preserve">        Data input required in blue coloured cells only</t>
  </si>
  <si>
    <t>A.</t>
  </si>
  <si>
    <t>FIXED DETAILS</t>
  </si>
  <si>
    <t>1.</t>
  </si>
  <si>
    <t>Commodity to be transported:</t>
  </si>
  <si>
    <t>2.</t>
  </si>
  <si>
    <t>Operating days per year:</t>
  </si>
  <si>
    <t>3.</t>
  </si>
  <si>
    <t>Originating station:</t>
  </si>
  <si>
    <t>4.</t>
  </si>
  <si>
    <t>Terminating station:</t>
  </si>
  <si>
    <t>5.</t>
  </si>
  <si>
    <t>Haul distance (Km):</t>
  </si>
  <si>
    <t>B.</t>
  </si>
  <si>
    <t>PHYSICAL COSTING PARAMETERS</t>
  </si>
  <si>
    <t>TEU</t>
  </si>
  <si>
    <t>7.</t>
  </si>
  <si>
    <t>Block train formation?</t>
  </si>
  <si>
    <t>YES</t>
  </si>
  <si>
    <t>8.</t>
  </si>
  <si>
    <t>Backloading available?</t>
  </si>
  <si>
    <t>NO</t>
  </si>
  <si>
    <t>9.</t>
  </si>
  <si>
    <t>Payload per wagon</t>
  </si>
  <si>
    <t>10.</t>
  </si>
  <si>
    <t>Number</t>
  </si>
  <si>
    <t xml:space="preserve"> </t>
  </si>
  <si>
    <t>11.</t>
  </si>
  <si>
    <t>12.</t>
  </si>
  <si>
    <t>12a.</t>
  </si>
  <si>
    <t>12b.</t>
  </si>
  <si>
    <t>13.</t>
  </si>
  <si>
    <t>Gross tonnage per locomotive</t>
  </si>
  <si>
    <t>14.</t>
  </si>
  <si>
    <t>Brakevan attached?</t>
  </si>
  <si>
    <t>If "YES", gross weight (tonnes):</t>
  </si>
  <si>
    <t>15.</t>
  </si>
  <si>
    <t>Payload per train</t>
  </si>
  <si>
    <t>15a.</t>
  </si>
  <si>
    <t>15b.</t>
  </si>
  <si>
    <t>16.</t>
  </si>
  <si>
    <t>Number of trains despatched per year:</t>
  </si>
  <si>
    <t>17.</t>
  </si>
  <si>
    <t>17a.</t>
  </si>
  <si>
    <t>Transit (hours)</t>
  </si>
  <si>
    <t>17b.</t>
  </si>
  <si>
    <t>Train loading/unloading (hours)</t>
  </si>
  <si>
    <t>17c.</t>
  </si>
  <si>
    <t>Train marshalling/re-marshalling (hours)</t>
  </si>
  <si>
    <t>17d.</t>
  </si>
  <si>
    <t>Idle time (hours)</t>
  </si>
  <si>
    <t>Total turnround time (days)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</si>
  <si>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</si>
  <si>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</si>
  <si>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</si>
  <si>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</si>
  <si>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</si>
  <si>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</si>
  <si>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</si>
  <si>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</si>
  <si>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</si>
  <si>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</si>
  <si>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Fuel consumption rate, d/e locos, litres/ '000 GTTK</t>
  </si>
  <si>
    <t>28.</t>
  </si>
  <si>
    <t>29.</t>
  </si>
  <si>
    <t>30.</t>
  </si>
  <si>
    <t>C.</t>
  </si>
  <si>
    <t xml:space="preserve">CURRENCY UNIT : </t>
  </si>
  <si>
    <t>31.</t>
  </si>
  <si>
    <t>Train crew cost per train hour</t>
  </si>
  <si>
    <t>32.</t>
  </si>
  <si>
    <t>33.</t>
  </si>
  <si>
    <t>Unit cost of diesel fuel, per litre</t>
  </si>
  <si>
    <t>34.</t>
  </si>
  <si>
    <t>35.</t>
  </si>
  <si>
    <t>Unit cost of loco maintenance,per loco km</t>
  </si>
  <si>
    <t>36.</t>
  </si>
  <si>
    <t>37.</t>
  </si>
  <si>
    <t>Variable cost of track maintenance, per GTK</t>
  </si>
  <si>
    <t>38.</t>
  </si>
  <si>
    <t>39.</t>
  </si>
  <si>
    <t>40.</t>
  </si>
  <si>
    <t>Train marshalling cost, per wagon</t>
  </si>
  <si>
    <t>41.</t>
  </si>
  <si>
    <t>42.</t>
  </si>
  <si>
    <t>Wagon purchase cost, per wagon unit</t>
  </si>
  <si>
    <t>43.</t>
  </si>
  <si>
    <t>44.</t>
  </si>
  <si>
    <t>45.</t>
  </si>
  <si>
    <t>46.</t>
  </si>
  <si>
    <t>47.</t>
  </si>
  <si>
    <t>48.</t>
  </si>
  <si>
    <t>49.</t>
  </si>
  <si>
    <t>50.</t>
  </si>
  <si>
    <t>D.</t>
  </si>
  <si>
    <t>Per wagon</t>
  </si>
  <si>
    <t>Per net</t>
  </si>
  <si>
    <t xml:space="preserve">  Per TEU</t>
  </si>
  <si>
    <t xml:space="preserve">     trip</t>
  </si>
  <si>
    <t>51.</t>
  </si>
  <si>
    <t>Train crews</t>
  </si>
  <si>
    <t>52.</t>
  </si>
  <si>
    <t>53.</t>
  </si>
  <si>
    <t>Locomotive maintenance</t>
  </si>
  <si>
    <t>54.</t>
  </si>
  <si>
    <t>Wagon maintenance</t>
  </si>
  <si>
    <t>55.</t>
  </si>
  <si>
    <t>Variable track maintenance</t>
  </si>
  <si>
    <t>56.</t>
  </si>
  <si>
    <t>Train marshalling cost</t>
  </si>
  <si>
    <t>57.</t>
  </si>
  <si>
    <t>58.</t>
  </si>
  <si>
    <t>59.</t>
  </si>
  <si>
    <t>Wagon capital</t>
  </si>
  <si>
    <t>60.</t>
  </si>
  <si>
    <t>Infrastructure capital</t>
  </si>
  <si>
    <t>61.</t>
  </si>
  <si>
    <t>62.</t>
  </si>
  <si>
    <t>Fixed cost of infrastructure maintenance</t>
  </si>
  <si>
    <t>63.</t>
  </si>
  <si>
    <t>64.</t>
  </si>
  <si>
    <t>65.</t>
  </si>
  <si>
    <t>18a.</t>
  </si>
  <si>
    <t>18b.</t>
  </si>
  <si>
    <t>Locomotives</t>
  </si>
  <si>
    <t>66.</t>
  </si>
  <si>
    <t>67.</t>
  </si>
  <si>
    <t>68.</t>
  </si>
  <si>
    <t>69.</t>
  </si>
  <si>
    <t>70.</t>
  </si>
  <si>
    <t>71.</t>
  </si>
  <si>
    <t>72.</t>
  </si>
  <si>
    <t>Fuel/energy consumption</t>
  </si>
  <si>
    <t>C1.</t>
  </si>
  <si>
    <t>C2.</t>
  </si>
  <si>
    <t>C2.1</t>
  </si>
  <si>
    <t>Railway infrastructure</t>
  </si>
  <si>
    <t>OPERATING AND MAINTENANCE COSTS</t>
  </si>
  <si>
    <t>CAPITAL COSTS</t>
  </si>
  <si>
    <t>C2.2</t>
  </si>
  <si>
    <t>C2.3</t>
  </si>
  <si>
    <t>Wagons</t>
  </si>
  <si>
    <t>Wagon economic or depreciable life (years)</t>
  </si>
  <si>
    <t>Wagon residual value as % of initial cost</t>
  </si>
  <si>
    <t>tonne-km</t>
  </si>
  <si>
    <t>73.</t>
  </si>
  <si>
    <t>74.</t>
  </si>
  <si>
    <t>75.</t>
  </si>
  <si>
    <t>Passenger</t>
  </si>
  <si>
    <t>Container</t>
  </si>
  <si>
    <t>Freight, other</t>
  </si>
  <si>
    <t>Train type</t>
  </si>
  <si>
    <t>GT/loco</t>
  </si>
  <si>
    <t>GT/train</t>
  </si>
  <si>
    <t>Wagons/carriages</t>
  </si>
  <si>
    <t>No./train</t>
  </si>
  <si>
    <t>GT/vehicle</t>
  </si>
  <si>
    <t>Other (b/van)</t>
  </si>
  <si>
    <t>Train composition and gross weight (tonnes)</t>
  </si>
  <si>
    <t xml:space="preserve">No. trains </t>
  </si>
  <si>
    <t>per day</t>
  </si>
  <si>
    <t>Total GT</t>
  </si>
  <si>
    <t>31a.</t>
  </si>
  <si>
    <t>31b.</t>
  </si>
  <si>
    <t xml:space="preserve">                    Fuel Consumption Rate</t>
  </si>
  <si>
    <t>(litres per hr)</t>
  </si>
  <si>
    <t>Tare Weight</t>
  </si>
  <si>
    <t xml:space="preserve">   (tonnes)</t>
  </si>
  <si>
    <t>Max. Payload</t>
  </si>
  <si>
    <t xml:space="preserve">    (tonnes)</t>
  </si>
  <si>
    <t>1st class coach</t>
  </si>
  <si>
    <t>2nd class coach</t>
  </si>
  <si>
    <t>Dining car</t>
  </si>
  <si>
    <t>Power car</t>
  </si>
  <si>
    <r>
      <t>(tonnes)</t>
    </r>
    <r>
      <rPr>
        <vertAlign val="superscript"/>
        <sz val="12"/>
        <rFont val="Arial"/>
        <family val="2"/>
      </rPr>
      <t>1</t>
    </r>
  </si>
  <si>
    <t>US$ mill.</t>
  </si>
  <si>
    <t>Carriage-km per year, '000</t>
  </si>
  <si>
    <t>GTK</t>
  </si>
  <si>
    <t>w/o Locos</t>
  </si>
  <si>
    <t>Double Stack Container Car</t>
  </si>
  <si>
    <t>Double stack wagon</t>
  </si>
  <si>
    <t>Terminal handling expenses, per TEU</t>
  </si>
  <si>
    <t xml:space="preserve">Container cargo delivery to final destination, per TEU </t>
  </si>
  <si>
    <t>Assume 200 km/hr max speed and 4x5min stops</t>
  </si>
  <si>
    <t>Push-pull DMU set</t>
  </si>
  <si>
    <t>Carriage turnround (single trip)</t>
  </si>
  <si>
    <t>2010 passenger vol as advised by SRO</t>
  </si>
  <si>
    <t>Terminal handling expenses</t>
  </si>
  <si>
    <t xml:space="preserve">   Capacity</t>
  </si>
  <si>
    <t>P J Hodgkinson</t>
  </si>
  <si>
    <t>Station "A"</t>
  </si>
  <si>
    <t>Station "B"</t>
  </si>
  <si>
    <t>Greenbier Annual Report '08-12</t>
  </si>
  <si>
    <t>(US$ mill.)</t>
  </si>
  <si>
    <t>Line</t>
  </si>
  <si>
    <t>Route Km</t>
  </si>
  <si>
    <t>Track Km</t>
  </si>
  <si>
    <t>Station "C"</t>
  </si>
  <si>
    <t>Station "D"</t>
  </si>
  <si>
    <t>Station "E"</t>
  </si>
  <si>
    <t>Total Line 1</t>
  </si>
  <si>
    <t>P. J. Hodgkinson</t>
  </si>
  <si>
    <t>Works trains</t>
  </si>
  <si>
    <t>Av. Km</t>
  </si>
  <si>
    <t>per train</t>
  </si>
  <si>
    <t>operated</t>
  </si>
  <si>
    <t>Locomotive(s)</t>
  </si>
  <si>
    <t>Total gross tonnage per train</t>
  </si>
  <si>
    <t>with Lococs</t>
  </si>
  <si>
    <t>per train type</t>
  </si>
  <si>
    <t>(million) p.a.</t>
  </si>
  <si>
    <t>Currency unit:</t>
  </si>
  <si>
    <t>$ US</t>
  </si>
  <si>
    <t>(US$)</t>
  </si>
  <si>
    <t>Annual cost of infrastructure maintenance for network, US$ mill.</t>
  </si>
  <si>
    <t>Track length (network), Km</t>
  </si>
  <si>
    <t xml:space="preserve">Annual cost of infrastructure maintenance per track-km, US$ </t>
  </si>
  <si>
    <t xml:space="preserve">Traction type/Deployment/Power (HP) </t>
  </si>
  <si>
    <t>Diesel Electric/Freight/4,000 H.P.</t>
  </si>
  <si>
    <t>Diesel/Shunting/1,500 H.P.</t>
  </si>
  <si>
    <t xml:space="preserve"> (US$ mill.)</t>
  </si>
  <si>
    <t xml:space="preserve"> Replacment</t>
  </si>
  <si>
    <t>Calculation of mainline locomotive maintenance costs (categories 1 and 2 above)</t>
  </si>
  <si>
    <t xml:space="preserve">Average utilization, Km per unit per year </t>
  </si>
  <si>
    <t>Interval between overhauls, Km</t>
  </si>
  <si>
    <t>Cost per overhaul</t>
  </si>
  <si>
    <t>Labour, US$</t>
  </si>
  <si>
    <t>Materials, US$</t>
  </si>
  <si>
    <t>Total, US$</t>
  </si>
  <si>
    <t>Average annual overhaul cost per unit, US$</t>
  </si>
  <si>
    <t xml:space="preserve">Average overhaul cost per locomotive-km, US$ </t>
  </si>
  <si>
    <t>Running maintenance as % of overhaul cost</t>
  </si>
  <si>
    <t>Running maintenance cost per locomotive-km, US$</t>
  </si>
  <si>
    <t>Total maintenance cost per locomotive-km, US$</t>
  </si>
  <si>
    <t>Single Tier (2 TEU) Container Flat</t>
  </si>
  <si>
    <t>Max.Gross Weight</t>
  </si>
  <si>
    <t xml:space="preserve"> Replacement</t>
  </si>
  <si>
    <t xml:space="preserve"> Maintenance</t>
  </si>
  <si>
    <t xml:space="preserve">Calculation of wagon maintenance costs </t>
  </si>
  <si>
    <t>Cost per overhaul. US$</t>
  </si>
  <si>
    <t xml:space="preserve">Average overhaul cost per wagon-km, US$ </t>
  </si>
  <si>
    <t xml:space="preserve"> Max.Gross </t>
  </si>
  <si>
    <t>Fuel Consumption</t>
  </si>
  <si>
    <t>(litres/hour)</t>
  </si>
  <si>
    <t>(US$ /wag-km)</t>
  </si>
  <si>
    <t>(US$/Loco-Km)</t>
  </si>
  <si>
    <t>(US$/VKm)</t>
  </si>
  <si>
    <t>(litres/'000 gtk)</t>
  </si>
  <si>
    <t xml:space="preserve">Average overhaul cost per vehicle-km, US$ </t>
  </si>
  <si>
    <t>Running maintenance cost per vehicle-km, US$</t>
  </si>
  <si>
    <t>Running maintenance cost per wagon-km, US$</t>
  </si>
  <si>
    <t>Total maintenance cost per wagon-km, US$</t>
  </si>
  <si>
    <t>Total maintenance cost pervehicle-km, US$</t>
  </si>
  <si>
    <t>Driver</t>
  </si>
  <si>
    <t>Driver's assistant</t>
  </si>
  <si>
    <t>Train Guard</t>
  </si>
  <si>
    <t>Conductor</t>
  </si>
  <si>
    <t>Annual cost</t>
  </si>
  <si>
    <t xml:space="preserve">    Total - Passenger trains</t>
  </si>
  <si>
    <t>- passenger</t>
  </si>
  <si>
    <t>- freight + works</t>
  </si>
  <si>
    <t xml:space="preserve">Crew cost </t>
  </si>
  <si>
    <t>Annual train-hours*</t>
  </si>
  <si>
    <t xml:space="preserve">    Total - Freight and works trains</t>
  </si>
  <si>
    <t>(network)</t>
  </si>
  <si>
    <t>Crew cost per train hour (US$)</t>
  </si>
  <si>
    <t>No.of employees</t>
  </si>
  <si>
    <t>US$</t>
  </si>
  <si>
    <t>per train hour</t>
  </si>
  <si>
    <t>No.stations</t>
  </si>
  <si>
    <t>Annual Station Staff</t>
  </si>
  <si>
    <t>Staff per station</t>
  </si>
  <si>
    <t>Annual cost per station</t>
  </si>
  <si>
    <t>No.</t>
  </si>
  <si>
    <t>Main railway station(s)</t>
  </si>
  <si>
    <t>Medium stations</t>
  </si>
  <si>
    <t>Small stations</t>
  </si>
  <si>
    <t>No. station</t>
  </si>
  <si>
    <t xml:space="preserve">employees </t>
  </si>
  <si>
    <t xml:space="preserve">Station operating </t>
  </si>
  <si>
    <t>Wages  Cost</t>
  </si>
  <si>
    <t>Cost/unit (US$)</t>
  </si>
  <si>
    <t>Labour share of tot.</t>
  </si>
  <si>
    <t>Mat.share of tot.</t>
  </si>
  <si>
    <t>Diesel Elec. 4,000 HP</t>
  </si>
  <si>
    <t>Track-km along the travelled route (km)</t>
  </si>
  <si>
    <t>47f.</t>
  </si>
  <si>
    <t>Fixed cost of route inf. maintenance, per track-km per year</t>
  </si>
  <si>
    <t>cost per route-km</t>
  </si>
  <si>
    <t xml:space="preserve">    Total</t>
  </si>
  <si>
    <t>on network</t>
  </si>
  <si>
    <t xml:space="preserve">"TRAINCOST" RAILWAY TRAFFIC COSTING  MODEL  </t>
  </si>
  <si>
    <t xml:space="preserve">     Freight</t>
  </si>
  <si>
    <t>Shunting</t>
  </si>
  <si>
    <t>per employee</t>
  </si>
  <si>
    <t>45a.</t>
  </si>
  <si>
    <t>45b.</t>
  </si>
  <si>
    <t xml:space="preserve">     Electricity/kwh</t>
  </si>
  <si>
    <t>for station employees</t>
  </si>
  <si>
    <t>Mountainous</t>
  </si>
  <si>
    <t>Route km by type</t>
  </si>
  <si>
    <t>Single track</t>
  </si>
  <si>
    <t>Double track</t>
  </si>
  <si>
    <t>Unit Construction cost (US$ mill. per km)</t>
  </si>
  <si>
    <t>Total construction cost (US$ mill.)</t>
  </si>
  <si>
    <t xml:space="preserve">       Total</t>
  </si>
  <si>
    <t xml:space="preserve">Permanent way construction cost </t>
  </si>
  <si>
    <t>Station type</t>
  </si>
  <si>
    <t>Medium</t>
  </si>
  <si>
    <t>Small</t>
  </si>
  <si>
    <t>Main</t>
  </si>
  <si>
    <t>Number on Line</t>
  </si>
  <si>
    <t>Unit const.cost</t>
  </si>
  <si>
    <t>Total const.cost</t>
  </si>
  <si>
    <t>Station Buildings - construction cost</t>
  </si>
  <si>
    <t>Total station construction cost attributable to this traffic</t>
  </si>
  <si>
    <t>59d.</t>
  </si>
  <si>
    <t>Station Buildings</t>
  </si>
  <si>
    <t>Based on estimated life of concrete sleepers</t>
  </si>
  <si>
    <t>Reflects only rail scrap value at end of infrastructure life</t>
  </si>
  <si>
    <t>Shadow price reflects removal of VAT of 10% on 100 % of total capital cost</t>
  </si>
  <si>
    <t>Reflects removal of import duty of 15% and VAT of 10% from purchases</t>
  </si>
  <si>
    <t xml:space="preserve">Shadow price is difference between administratively determined "railway wage" (US$ 8025 p.a.) and </t>
  </si>
  <si>
    <t>free market labour rate (about US$ 7,000 p.a.)</t>
  </si>
  <si>
    <t xml:space="preserve">Shunting staff </t>
  </si>
  <si>
    <t>Number in network</t>
  </si>
  <si>
    <t>Average monthly</t>
  </si>
  <si>
    <t>wage (US$)</t>
  </si>
  <si>
    <t>Annual shunter labour</t>
  </si>
  <si>
    <t>cost (US$mill.)</t>
  </si>
  <si>
    <t>Wagons per year</t>
  </si>
  <si>
    <t>(Line 1)</t>
  </si>
  <si>
    <t>(Network)</t>
  </si>
  <si>
    <t xml:space="preserve">Loco working </t>
  </si>
  <si>
    <t>Fuel consumption</t>
  </si>
  <si>
    <t>Shunting fuel cost</t>
  </si>
  <si>
    <t>Wagon throughput</t>
  </si>
  <si>
    <t>Fuel cost per wagon</t>
  </si>
  <si>
    <t>Shunting loco fuel</t>
  </si>
  <si>
    <t>Shunting loco maintenance</t>
  </si>
  <si>
    <t xml:space="preserve">Interval between </t>
  </si>
  <si>
    <t>overhauls (hours)</t>
  </si>
  <si>
    <t xml:space="preserve">Working hours </t>
  </si>
  <si>
    <t>per loco per year</t>
  </si>
  <si>
    <t>Total cost of overhauls</t>
  </si>
  <si>
    <t>per year (US$ mill.)</t>
  </si>
  <si>
    <t>in network</t>
  </si>
  <si>
    <t xml:space="preserve">Average monthly </t>
  </si>
  <si>
    <t>driver wage (US$)</t>
  </si>
  <si>
    <t>Driver cost per year</t>
  </si>
  <si>
    <t xml:space="preserve">Shunter labour </t>
  </si>
  <si>
    <t>cost per wagon (US$)</t>
  </si>
  <si>
    <t>No. drivers</t>
  </si>
  <si>
    <t>Freight&amp;other</t>
  </si>
  <si>
    <t xml:space="preserve">required </t>
  </si>
  <si>
    <t>Driver cost per wagon</t>
  </si>
  <si>
    <t xml:space="preserve">Loco maint cost per </t>
  </si>
  <si>
    <t>Number of locos</t>
  </si>
  <si>
    <t>shunted wagon (US$)</t>
  </si>
  <si>
    <t>No fuel subsidy assumed. Therefore, SPF is retail price less taxes (assumed to be 15%).</t>
  </si>
  <si>
    <t xml:space="preserve">Note: 80% assumed to comprise spare parts, attracting 15% import duty and 10% VAT, while balance (20%) </t>
  </si>
  <si>
    <t>attracts only VAT of 10%</t>
  </si>
  <si>
    <t xml:space="preserve">Note infrastructure maintenance is contracted out so labour costs will reflect free market rates, </t>
  </si>
  <si>
    <t>attracting only VAT at a rate of 10%</t>
  </si>
  <si>
    <t xml:space="preserve">Shadow price is difference between administratively determined "railway wage" and free market labour </t>
  </si>
  <si>
    <t>rate and reflectsb aplication of import duty and VAT to about 20% of total cost</t>
  </si>
  <si>
    <t>Market rate, with application of 10% VAT</t>
  </si>
  <si>
    <t>Service:</t>
  </si>
  <si>
    <t xml:space="preserve">Line:            </t>
  </si>
  <si>
    <t xml:space="preserve">Fast Passenger Train Service, </t>
  </si>
  <si>
    <t>Station "A" to "Station "E"</t>
  </si>
  <si>
    <t xml:space="preserve">        Data input required in maroon coloured cells only</t>
  </si>
  <si>
    <t xml:space="preserve">Station "A" </t>
  </si>
  <si>
    <t>DMU Passenger cars</t>
  </si>
  <si>
    <t>Fixed cost of route infrastructure maintenance, per track-km per year</t>
  </si>
  <si>
    <t>Share of traffic</t>
  </si>
  <si>
    <t>on route</t>
  </si>
  <si>
    <t>Buildings - construction cost</t>
  </si>
  <si>
    <t>Total building capital cost (attributable to this traffic)</t>
  </si>
  <si>
    <t>P.J.Hodgkinson</t>
  </si>
  <si>
    <t>Share (US$ mill)</t>
  </si>
  <si>
    <t xml:space="preserve">Note: 50% assumed to comprise equipment and spare parts, attracting 15% import duty and </t>
  </si>
  <si>
    <t>10% VAT; remaining 50% attracts only VAT</t>
  </si>
  <si>
    <t xml:space="preserve"> on remaining 60 %.</t>
  </si>
  <si>
    <t xml:space="preserve">Shadow price reflects removal of import duty of 15% and VAT of 10% on 40% of total capital cost and of VAT </t>
  </si>
  <si>
    <t xml:space="preserve">Reflects removal of import duty of 15% and VAT of 10% </t>
  </si>
  <si>
    <t>from purchases</t>
  </si>
  <si>
    <t xml:space="preserve">Shadow price reflects removal of import duty of 15% and VAT of 10% on 40% of total capital cost and VAT </t>
  </si>
  <si>
    <t>on remaining 60%</t>
  </si>
  <si>
    <t xml:space="preserve">Cement haulage, Station "A" to Station "D", Line 1 </t>
  </si>
  <si>
    <t xml:space="preserve">        Data input required in orange coloured cells only</t>
  </si>
  <si>
    <t xml:space="preserve">Buildings - construction cost </t>
  </si>
  <si>
    <t>remaining 50% attracts only VAT</t>
  </si>
  <si>
    <t>Note: 50% assumed to comprise spare parts, attracting 15% import duty and VAT of 10%;</t>
  </si>
  <si>
    <t>41f.</t>
  </si>
  <si>
    <t>Double Stack Container Block Train Service, Line 1, Station "A" to Station "E"</t>
  </si>
  <si>
    <t>.</t>
  </si>
  <si>
    <t>Note: infrastructure maintenance is contracted out so labour costs will reflect free market rates.</t>
  </si>
  <si>
    <t>Estimated annual insurance payment for network (US$ mill.):</t>
  </si>
  <si>
    <t>Bulk freight</t>
  </si>
  <si>
    <t>TOTAL (US$ per wagon)</t>
  </si>
  <si>
    <t>SRMC</t>
  </si>
  <si>
    <t>LRMC</t>
  </si>
  <si>
    <t>F.D. Cost</t>
  </si>
  <si>
    <t>Train crew</t>
  </si>
  <si>
    <t>Fuel</t>
  </si>
  <si>
    <t>Loco/rolling stock maint.</t>
  </si>
  <si>
    <t>Loco/rolling stock capital.</t>
  </si>
  <si>
    <t>Indirect*</t>
  </si>
  <si>
    <t>ECONOMIC AND SOCIAL COMMISSION FOR ASIA AND THE PACIFIC</t>
  </si>
  <si>
    <t>"TRAINCOST"</t>
  </si>
  <si>
    <t>All Rights Reserved</t>
  </si>
  <si>
    <t>SELECT:</t>
  </si>
  <si>
    <t xml:space="preserve">RAILWAY TRAFFIC COSTING  MODEL :  </t>
  </si>
  <si>
    <t>Copyright 2013 by ESCAP</t>
  </si>
  <si>
    <t>Version 2.0</t>
  </si>
  <si>
    <t>sysdata</t>
  </si>
  <si>
    <t>Cement tanker wagon</t>
  </si>
  <si>
    <t>Petroleum tanker wagon</t>
  </si>
  <si>
    <t>Gondola (open top wagon)</t>
  </si>
  <si>
    <t>Boxcar</t>
  </si>
  <si>
    <t>3.    CALCULATION OF INFRASTRUCTURE MAINTENANCE COSTS*</t>
  </si>
  <si>
    <r>
      <t xml:space="preserve"> Cost</t>
    </r>
    <r>
      <rPr>
        <vertAlign val="superscript"/>
        <sz val="12"/>
        <rFont val="Arial"/>
        <family val="2"/>
      </rPr>
      <t>2</t>
    </r>
  </si>
  <si>
    <t>Electric/Freight/9,000 H.P.</t>
  </si>
  <si>
    <t>Electric/Passenger/6,000 H.P.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</si>
  <si>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 Gross weight is the all-up weight of a locomotive (fully fuelled in the case of diesel electric locomotives), usually distributed over 6 axles in the case of mainline locomotives.</t>
    </r>
  </si>
  <si>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 Replacement cost is the current price per unit which would be paid for a new locomotive.</t>
    </r>
  </si>
  <si>
    <r>
      <rPr>
        <vertAlign val="superscript"/>
        <sz val="12"/>
        <rFont val="Arial"/>
        <family val="2"/>
      </rPr>
      <t xml:space="preserve">3   </t>
    </r>
    <r>
      <rPr>
        <sz val="12"/>
        <rFont val="Arial"/>
        <family val="2"/>
      </rPr>
      <t xml:space="preserve">Availability rate is the proportion of a locomotive's total hours for which it is available for operation (i.e. when it is not being overhauled or undergoing running maintenance. </t>
    </r>
  </si>
  <si>
    <r>
      <t xml:space="preserve">  Rate</t>
    </r>
    <r>
      <rPr>
        <vertAlign val="superscript"/>
        <sz val="12"/>
        <rFont val="Arial"/>
        <family val="2"/>
      </rPr>
      <t>3</t>
    </r>
  </si>
  <si>
    <t xml:space="preserve">  Rate</t>
  </si>
  <si>
    <t>Line section identifier</t>
  </si>
  <si>
    <t>containers</t>
  </si>
  <si>
    <t>General Freight Haulage, Line 1, Station "A" to Station "E"</t>
  </si>
  <si>
    <t>General Freight</t>
  </si>
  <si>
    <t>RAILWAY BULK FREIGHT TRAFFIC COSTING SUB-MODEL</t>
  </si>
  <si>
    <t>(container wagons)</t>
  </si>
  <si>
    <t>TOT.</t>
  </si>
  <si>
    <t>Non-container flat or low-side wagon</t>
  </si>
  <si>
    <t>Diesel Electric/Passenger/Freight/2,500 H.P.</t>
  </si>
  <si>
    <t>D.E. 2,500 HP</t>
  </si>
  <si>
    <t>Load factor</t>
  </si>
  <si>
    <t>17e.</t>
  </si>
  <si>
    <t>KW to HP</t>
  </si>
  <si>
    <t>KW</t>
  </si>
  <si>
    <t>HP</t>
  </si>
  <si>
    <t>Engine power of Intercity 125</t>
  </si>
  <si>
    <t>With 2 units</t>
  </si>
  <si>
    <t>Fuel consumption calculation in litres per 1000 gtk:</t>
  </si>
  <si>
    <t xml:space="preserve">KW x efficiency ratio x trip hours x 189 grams/kwh </t>
  </si>
  <si>
    <t>=</t>
  </si>
  <si>
    <t>grams</t>
  </si>
  <si>
    <t>litres</t>
  </si>
  <si>
    <t>litres/gtk</t>
  </si>
  <si>
    <t>Calculation of DMU fuel consumption</t>
  </si>
  <si>
    <t>(850 grams to 1 litre)</t>
  </si>
  <si>
    <t>(trip length = 470 km)</t>
  </si>
  <si>
    <t>litres/(280 GT x 470 km)</t>
  </si>
  <si>
    <t xml:space="preserve">                    =</t>
  </si>
  <si>
    <t>litres/'000 gtk</t>
  </si>
  <si>
    <t xml:space="preserve">Permanent way - unit construction cost </t>
  </si>
  <si>
    <t>Distribution of trains,</t>
  </si>
  <si>
    <t>by type</t>
  </si>
  <si>
    <t>Monthly Wage*</t>
  </si>
  <si>
    <r>
      <t xml:space="preserve">* </t>
    </r>
    <r>
      <rPr>
        <sz val="16"/>
        <rFont val="Arial"/>
        <family val="2"/>
      </rPr>
      <t>Includes base salary plus all allowances and wage overheads</t>
    </r>
  </si>
  <si>
    <t xml:space="preserve">      5</t>
  </si>
  <si>
    <t>4.    LOCOMOTIVES</t>
  </si>
  <si>
    <t>5.    FREIGHT WAGONS</t>
  </si>
  <si>
    <t>6.    PASSENGER VEHICLES</t>
  </si>
  <si>
    <t xml:space="preserve">7.    TRAIN CREWS   </t>
  </si>
  <si>
    <t>8.    ENERGY CONSUMPTION COST</t>
  </si>
  <si>
    <t>9.    STATION OPERATING COSTS</t>
  </si>
  <si>
    <t>10.    PERMANENT WAY CAPITAL COSTS</t>
  </si>
  <si>
    <t>11.    STATION CAPITAL COSTS</t>
  </si>
  <si>
    <t>12.    TRAIN MARSHALLING COST</t>
  </si>
  <si>
    <t>13.    INSURANCE</t>
  </si>
  <si>
    <t>Fixed cost % of total infrastructure maintenance cost</t>
  </si>
  <si>
    <t>Variable cost % of total infrastructure maintenance cost</t>
  </si>
  <si>
    <t>Fixed cost of infrastructure maintenance, per track-km</t>
  </si>
  <si>
    <t>Variable cost of infrastructure maintenance, per  gross tonne-km</t>
  </si>
  <si>
    <t>Daily track inspection</t>
  </si>
  <si>
    <t>Rail replacement</t>
  </si>
  <si>
    <t>Vegetation and weed control</t>
  </si>
  <si>
    <t>Sleeper replacement</t>
  </si>
  <si>
    <t>Building maintenance</t>
  </si>
  <si>
    <t>Ballast renewal, cleaning and tamping</t>
  </si>
  <si>
    <t xml:space="preserve">Electrification system maintenance (catenaries, sub-stations, etc) </t>
  </si>
  <si>
    <t>Bridge repair and maintenance</t>
  </si>
  <si>
    <t>Signalling and communications system maintenance</t>
  </si>
  <si>
    <t>US$ per year</t>
  </si>
  <si>
    <t>Fixed cost % of total</t>
  </si>
  <si>
    <t>Fixed costs (network)</t>
  </si>
  <si>
    <t>Variable costs (network)</t>
  </si>
  <si>
    <t>Total fixed</t>
  </si>
  <si>
    <t>Total variable</t>
  </si>
  <si>
    <t>Variable cost % of total</t>
  </si>
  <si>
    <t>US$ million per year</t>
  </si>
  <si>
    <t>Ref.No.</t>
  </si>
  <si>
    <t>49a.</t>
  </si>
  <si>
    <t>Unit cost of electricity, per kwh</t>
  </si>
  <si>
    <t>(litres/kwh per '000 gtk)</t>
  </si>
  <si>
    <t>Traction type</t>
  </si>
  <si>
    <t>D</t>
  </si>
  <si>
    <t>21c.</t>
  </si>
  <si>
    <t>46a.</t>
  </si>
  <si>
    <t>Energy consumption quantity, kwh per year</t>
  </si>
  <si>
    <t xml:space="preserve">  Type</t>
  </si>
  <si>
    <t>Wage rate*/month</t>
  </si>
  <si>
    <r>
      <t xml:space="preserve">* </t>
    </r>
    <r>
      <rPr>
        <sz val="16"/>
        <rFont val="Arial"/>
        <family val="2"/>
      </rPr>
      <t>Includes base wage plus all allowances and wage overheads</t>
    </r>
  </si>
  <si>
    <t>15c.</t>
  </si>
  <si>
    <t>Energy consumption rate, electric locos, kwh/ '000 GTTK</t>
  </si>
  <si>
    <t>40a.</t>
  </si>
  <si>
    <t>Energy consumption rate,electric locos, kwh/ '000 GTTK</t>
  </si>
  <si>
    <t xml:space="preserve">      6</t>
  </si>
  <si>
    <t>EMU set</t>
  </si>
  <si>
    <t>DMU/EMU</t>
  </si>
  <si>
    <t>(kwh/'000 gtk)</t>
  </si>
  <si>
    <t>Energy Cons.</t>
  </si>
  <si>
    <t>Energy consumption rate,  electric locos/EMUs, kwh/'000 GTTK</t>
  </si>
  <si>
    <t>Fuel consumption rate, diesel locos/DMUs, litres/ '000 GTTK</t>
  </si>
  <si>
    <t>Vehicle type</t>
  </si>
  <si>
    <t>43a.</t>
  </si>
  <si>
    <t>Short Run Marginal Cost (O&amp;M costs+Admin. Overheads)</t>
  </si>
  <si>
    <t>Long Run Marginal Cost (Short Run Marginal Cost + loco &amp; wagon capital)</t>
  </si>
  <si>
    <t>Fully Allocated Cost (Long Run Marginal Cost + infrastructure capital)</t>
  </si>
  <si>
    <t>13c.</t>
  </si>
  <si>
    <t>16c.</t>
  </si>
  <si>
    <t>(insert D or E)</t>
  </si>
  <si>
    <t>58e.</t>
  </si>
  <si>
    <t>Interest rate applicable to infrastructure loans</t>
  </si>
  <si>
    <t>59e.</t>
  </si>
  <si>
    <t>62a.</t>
  </si>
  <si>
    <t>Interest rate applicable to mainline locomotive purchases</t>
  </si>
  <si>
    <t>65a.</t>
  </si>
  <si>
    <t>Interest rate applicable to shunting locomotive purchases</t>
  </si>
  <si>
    <t>68a.</t>
  </si>
  <si>
    <t>Interest rate applicable to wagon purchases</t>
  </si>
  <si>
    <t>54e.</t>
  </si>
  <si>
    <t>55e.</t>
  </si>
  <si>
    <t>61a.</t>
  </si>
  <si>
    <t>64a.</t>
  </si>
  <si>
    <t>50e.</t>
  </si>
  <si>
    <t>51d.</t>
  </si>
  <si>
    <t>51e.</t>
  </si>
  <si>
    <t>Interest rate applicable to car purchases</t>
  </si>
  <si>
    <t xml:space="preserve">Short Run Marginal Cost </t>
  </si>
  <si>
    <t>Fully Allocated Cost (Long Run Marginal Cost + fixed O&amp;M + infrastructure capital)</t>
  </si>
</sst>
</file>

<file path=xl/styles.xml><?xml version="1.0" encoding="utf-8"?>
<styleSheet xmlns="http://schemas.openxmlformats.org/spreadsheetml/2006/main">
  <numFmts count="13">
    <numFmt numFmtId="179" formatCode="_-* #,##0.00_-;\-* #,##0.00_-;_-* &quot;-&quot;??_-;_-@_-"/>
    <numFmt numFmtId="194" formatCode=";;;"/>
    <numFmt numFmtId="195" formatCode="0.000"/>
    <numFmt numFmtId="196" formatCode="0.0"/>
    <numFmt numFmtId="197" formatCode="0.0000"/>
    <numFmt numFmtId="198" formatCode="0.0%"/>
    <numFmt numFmtId="202" formatCode="0.000000"/>
    <numFmt numFmtId="204" formatCode="#,##0.000"/>
    <numFmt numFmtId="205" formatCode="#,##0.0000"/>
    <numFmt numFmtId="212" formatCode="_-* #,##0_-;\-* #,##0_-;_-* &quot;-&quot;??_-;_-@_-"/>
    <numFmt numFmtId="214" formatCode="_-* #,##0.0_-;\-* #,##0.0_-;_-* &quot;-&quot;??_-;_-@_-"/>
    <numFmt numFmtId="218" formatCode="_-* #,##0.0000_-;\-* #,##0.0000_-;_-* &quot;-&quot;??_-;_-@_-"/>
    <numFmt numFmtId="221" formatCode="_(* #,##0_);_(* \(#,##0\);_(* &quot;-&quot;??_);_(@_)"/>
  </numFmts>
  <fonts count="167">
    <font>
      <sz val="12"/>
      <name val="Arial"/>
    </font>
    <font>
      <u/>
      <sz val="12"/>
      <name val="Arial"/>
      <family val="2"/>
    </font>
    <font>
      <b/>
      <i/>
      <sz val="12"/>
      <color indexed="9"/>
      <name val="Arial"/>
      <family val="2"/>
    </font>
    <font>
      <b/>
      <i/>
      <sz val="18"/>
      <name val="Britannic Bold"/>
      <family val="2"/>
    </font>
    <font>
      <sz val="20"/>
      <name val="Arial"/>
      <family val="2"/>
    </font>
    <font>
      <b/>
      <sz val="15"/>
      <name val="Arial"/>
      <family val="2"/>
    </font>
    <font>
      <sz val="20"/>
      <color indexed="20"/>
      <name val="Britannic Bold"/>
      <family val="2"/>
    </font>
    <font>
      <sz val="16"/>
      <color indexed="20"/>
      <name val="Broadway"/>
      <family val="5"/>
    </font>
    <font>
      <i/>
      <sz val="14"/>
      <color indexed="20"/>
      <name val="Broadway"/>
      <family val="5"/>
    </font>
    <font>
      <sz val="12"/>
      <color indexed="20"/>
      <name val="Arial"/>
      <family val="2"/>
    </font>
    <font>
      <sz val="18"/>
      <color indexed="12"/>
      <name val="Britannic Bold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8"/>
      <name val="Arial"/>
      <family val="2"/>
    </font>
    <font>
      <sz val="10"/>
      <name val="Arial"/>
      <family val="2"/>
    </font>
    <font>
      <b/>
      <sz val="12"/>
      <color indexed="1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i/>
      <u/>
      <sz val="20"/>
      <name val="Arial"/>
      <family val="2"/>
    </font>
    <font>
      <b/>
      <i/>
      <sz val="18"/>
      <color indexed="9"/>
      <name val="Arial"/>
      <family val="2"/>
    </font>
    <font>
      <sz val="15"/>
      <name val="Arial"/>
      <family val="2"/>
    </font>
    <font>
      <b/>
      <sz val="20"/>
      <color indexed="20"/>
      <name val="Britannic Bold"/>
      <family val="2"/>
    </font>
    <font>
      <b/>
      <i/>
      <sz val="15"/>
      <name val="Britannic Bold"/>
      <family val="2"/>
    </font>
    <font>
      <b/>
      <i/>
      <u/>
      <sz val="18"/>
      <name val="Arial"/>
      <family val="2"/>
    </font>
    <font>
      <u/>
      <sz val="18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sz val="18"/>
      <color indexed="20"/>
      <name val="Arial"/>
      <family val="2"/>
    </font>
    <font>
      <b/>
      <i/>
      <sz val="18"/>
      <color indexed="14"/>
      <name val="Arial"/>
      <family val="2"/>
    </font>
    <font>
      <i/>
      <u/>
      <sz val="18"/>
      <color indexed="14"/>
      <name val="Arial"/>
      <family val="2"/>
    </font>
    <font>
      <i/>
      <sz val="18"/>
      <name val="Arial"/>
      <family val="2"/>
    </font>
    <font>
      <i/>
      <sz val="18"/>
      <color indexed="8"/>
      <name val="Britannic Bold"/>
      <family val="2"/>
    </font>
    <font>
      <i/>
      <sz val="18"/>
      <name val="Britannic Bold"/>
      <family val="2"/>
    </font>
    <font>
      <b/>
      <i/>
      <sz val="18"/>
      <color indexed="20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sz val="18"/>
      <color indexed="14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i/>
      <sz val="18"/>
      <name val="Arial"/>
      <family val="2"/>
      <charset val="222"/>
    </font>
    <font>
      <b/>
      <sz val="18"/>
      <color indexed="9"/>
      <name val="Arial"/>
      <family val="2"/>
      <charset val="222"/>
    </font>
    <font>
      <vertAlign val="superscript"/>
      <sz val="12"/>
      <name val="Arial"/>
      <family val="2"/>
    </font>
    <font>
      <b/>
      <u/>
      <sz val="22"/>
      <name val="Arial"/>
      <family val="2"/>
    </font>
    <font>
      <b/>
      <i/>
      <sz val="20"/>
      <color indexed="9"/>
      <name val="Arial"/>
      <family val="2"/>
    </font>
    <font>
      <b/>
      <sz val="20"/>
      <color indexed="9"/>
      <name val="Arial"/>
      <family val="2"/>
    </font>
    <font>
      <b/>
      <i/>
      <sz val="20"/>
      <color indexed="9"/>
      <name val="Britannic Bold"/>
      <family val="2"/>
    </font>
    <font>
      <b/>
      <sz val="20"/>
      <name val="Arial"/>
      <family val="2"/>
    </font>
    <font>
      <b/>
      <i/>
      <sz val="20"/>
      <name val="Britannic Bold"/>
      <family val="2"/>
    </font>
    <font>
      <b/>
      <sz val="16"/>
      <color indexed="18"/>
      <name val="Arial"/>
      <family val="2"/>
    </font>
    <font>
      <sz val="16"/>
      <name val="Arial"/>
      <family val="2"/>
    </font>
    <font>
      <b/>
      <sz val="16"/>
      <color indexed="20"/>
      <name val="Britannic Bold"/>
      <family val="2"/>
    </font>
    <font>
      <sz val="8"/>
      <name val="Arial"/>
      <family val="2"/>
    </font>
    <font>
      <u/>
      <sz val="16"/>
      <name val="Arial"/>
      <family val="2"/>
    </font>
    <font>
      <i/>
      <sz val="16"/>
      <name val="Arial"/>
      <family val="2"/>
    </font>
    <font>
      <b/>
      <i/>
      <sz val="16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b/>
      <i/>
      <sz val="18"/>
      <name val="Arial"/>
      <family val="2"/>
    </font>
    <font>
      <sz val="18"/>
      <color indexed="28"/>
      <name val="Arial"/>
      <family val="2"/>
    </font>
    <font>
      <b/>
      <u/>
      <sz val="18"/>
      <name val="Arial"/>
      <family val="2"/>
    </font>
    <font>
      <sz val="18"/>
      <color indexed="28"/>
      <name val="Arial"/>
      <family val="2"/>
    </font>
    <font>
      <sz val="18"/>
      <color indexed="20"/>
      <name val="Arial"/>
      <family val="2"/>
    </font>
    <font>
      <b/>
      <i/>
      <u/>
      <sz val="18"/>
      <color indexed="20"/>
      <name val="Arial"/>
      <family val="2"/>
    </font>
    <font>
      <i/>
      <sz val="18"/>
      <name val="Arial"/>
      <family val="2"/>
    </font>
    <font>
      <b/>
      <sz val="18"/>
      <color indexed="9"/>
      <name val="Arial"/>
      <family val="2"/>
    </font>
    <font>
      <b/>
      <sz val="24"/>
      <color indexed="10"/>
      <name val="Arial"/>
      <family val="2"/>
    </font>
    <font>
      <b/>
      <sz val="18"/>
      <color indexed="14"/>
      <name val="Arial"/>
      <family val="2"/>
    </font>
    <font>
      <b/>
      <i/>
      <sz val="18"/>
      <color indexed="14"/>
      <name val="Britannic Bold"/>
      <family val="2"/>
    </font>
    <font>
      <sz val="18"/>
      <color indexed="14"/>
      <name val="Britannic Bold"/>
      <family val="2"/>
    </font>
    <font>
      <b/>
      <i/>
      <u/>
      <sz val="18"/>
      <name val="Arial"/>
      <family val="2"/>
    </font>
    <font>
      <sz val="12"/>
      <color indexed="28"/>
      <name val="Arial"/>
      <family val="2"/>
    </font>
    <font>
      <b/>
      <i/>
      <sz val="18"/>
      <color indexed="28"/>
      <name val="Arial"/>
      <family val="2"/>
    </font>
    <font>
      <b/>
      <i/>
      <u/>
      <sz val="18"/>
      <name val="Arial"/>
      <family val="2"/>
      <charset val="222"/>
    </font>
    <font>
      <i/>
      <sz val="18"/>
      <color indexed="28"/>
      <name val="Arial"/>
      <family val="2"/>
    </font>
    <font>
      <i/>
      <sz val="18"/>
      <color indexed="20"/>
      <name val="Arial"/>
      <family val="2"/>
    </font>
    <font>
      <b/>
      <i/>
      <sz val="20"/>
      <color indexed="8"/>
      <name val="Arial"/>
      <family val="2"/>
    </font>
    <font>
      <b/>
      <i/>
      <sz val="20"/>
      <color indexed="28"/>
      <name val="Arial"/>
      <family val="2"/>
    </font>
    <font>
      <b/>
      <i/>
      <sz val="20"/>
      <name val="Arial"/>
      <family val="2"/>
    </font>
    <font>
      <b/>
      <i/>
      <sz val="20"/>
      <name val="Arial"/>
      <family val="2"/>
    </font>
    <font>
      <sz val="36"/>
      <name val="Arial"/>
      <family val="2"/>
    </font>
    <font>
      <u/>
      <sz val="36"/>
      <name val="Arial"/>
      <family val="2"/>
    </font>
    <font>
      <b/>
      <i/>
      <sz val="26"/>
      <color indexed="13"/>
      <name val="Arial"/>
      <family val="2"/>
    </font>
    <font>
      <b/>
      <i/>
      <sz val="26"/>
      <color indexed="13"/>
      <name val="Arial"/>
      <family val="2"/>
    </font>
    <font>
      <b/>
      <i/>
      <sz val="26"/>
      <color indexed="11"/>
      <name val="Arial"/>
      <family val="2"/>
    </font>
    <font>
      <b/>
      <i/>
      <sz val="20"/>
      <color indexed="18"/>
      <name val="Arial"/>
      <family val="2"/>
    </font>
    <font>
      <i/>
      <sz val="20"/>
      <color indexed="18"/>
      <name val="Arial"/>
      <family val="2"/>
    </font>
    <font>
      <b/>
      <i/>
      <sz val="22"/>
      <color indexed="11"/>
      <name val="Arial"/>
      <family val="2"/>
    </font>
    <font>
      <b/>
      <i/>
      <sz val="22"/>
      <color indexed="57"/>
      <name val="Arial"/>
      <family val="2"/>
    </font>
    <font>
      <b/>
      <i/>
      <sz val="18"/>
      <color indexed="10"/>
      <name val="Arial"/>
      <family val="2"/>
    </font>
    <font>
      <b/>
      <i/>
      <sz val="20"/>
      <color indexed="14"/>
      <name val="Arial"/>
      <family val="2"/>
    </font>
    <font>
      <i/>
      <sz val="20"/>
      <color indexed="14"/>
      <name val="Arial"/>
      <family val="2"/>
    </font>
    <font>
      <sz val="18"/>
      <color indexed="14"/>
      <name val="Arial"/>
      <family val="2"/>
    </font>
    <font>
      <sz val="12"/>
      <color indexed="14"/>
      <name val="Arial"/>
      <family val="2"/>
    </font>
    <font>
      <b/>
      <i/>
      <sz val="22"/>
      <color indexed="5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i/>
      <sz val="18"/>
      <color indexed="11"/>
      <name val="Britannic Bold"/>
      <family val="2"/>
    </font>
    <font>
      <b/>
      <i/>
      <sz val="2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i/>
      <u/>
      <sz val="14"/>
      <name val="Britannic Bold"/>
      <family val="2"/>
    </font>
    <font>
      <b/>
      <u/>
      <sz val="14"/>
      <name val="Arial"/>
      <family val="2"/>
    </font>
    <font>
      <sz val="12"/>
      <color indexed="15"/>
      <name val="Arial"/>
      <family val="2"/>
    </font>
    <font>
      <b/>
      <i/>
      <sz val="18"/>
      <color indexed="9"/>
      <name val="Britannic Bold"/>
      <family val="2"/>
    </font>
    <font>
      <b/>
      <i/>
      <sz val="21"/>
      <name val="Britannic Bold"/>
      <family val="2"/>
    </font>
    <font>
      <i/>
      <sz val="14"/>
      <color indexed="10"/>
      <name val="Britannic Bold"/>
      <family val="2"/>
    </font>
    <font>
      <b/>
      <sz val="10.5"/>
      <name val="Arial"/>
      <family val="2"/>
    </font>
    <font>
      <sz val="12"/>
      <name val="Arial"/>
    </font>
    <font>
      <i/>
      <sz val="22"/>
      <name val="Arial"/>
      <family val="2"/>
    </font>
    <font>
      <b/>
      <i/>
      <sz val="18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0"/>
      <name val="Arial"/>
      <family val="2"/>
    </font>
    <font>
      <sz val="14"/>
      <color indexed="10"/>
      <name val="Arial"/>
      <family val="2"/>
    </font>
    <font>
      <i/>
      <sz val="18"/>
      <color indexed="10"/>
      <name val="Arial"/>
      <family val="2"/>
    </font>
    <font>
      <sz val="18"/>
      <color indexed="10"/>
      <name val="Arial"/>
      <family val="2"/>
    </font>
    <font>
      <b/>
      <i/>
      <sz val="14"/>
      <color indexed="10"/>
      <name val="Arial"/>
      <family val="2"/>
    </font>
    <font>
      <b/>
      <i/>
      <sz val="12"/>
      <color indexed="10"/>
      <name val="Arial"/>
      <family val="2"/>
    </font>
    <font>
      <i/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8"/>
      <name val="Arial"/>
      <family val="2"/>
    </font>
    <font>
      <sz val="12"/>
      <color indexed="18"/>
      <name val="Arial"/>
      <family val="2"/>
    </font>
    <font>
      <b/>
      <i/>
      <sz val="18"/>
      <color indexed="56"/>
      <name val="Arial"/>
      <family val="2"/>
    </font>
    <font>
      <b/>
      <sz val="14"/>
      <color indexed="56"/>
      <name val="Arial"/>
      <family val="2"/>
    </font>
    <font>
      <sz val="14"/>
      <color indexed="56"/>
      <name val="Arial"/>
      <family val="2"/>
    </font>
    <font>
      <sz val="12"/>
      <color indexed="56"/>
      <name val="Arial"/>
      <family val="2"/>
    </font>
    <font>
      <i/>
      <sz val="18"/>
      <color indexed="56"/>
      <name val="Arial"/>
      <family val="2"/>
    </font>
    <font>
      <sz val="18"/>
      <color indexed="56"/>
      <name val="Arial"/>
      <family val="2"/>
    </font>
    <font>
      <b/>
      <i/>
      <sz val="18"/>
      <color indexed="17"/>
      <name val="Arial"/>
      <family val="2"/>
    </font>
    <font>
      <b/>
      <sz val="14"/>
      <color indexed="17"/>
      <name val="Arial"/>
      <family val="2"/>
    </font>
    <font>
      <sz val="14"/>
      <color indexed="17"/>
      <name val="Arial"/>
      <family val="2"/>
    </font>
    <font>
      <sz val="12"/>
      <color indexed="17"/>
      <name val="Arial"/>
      <family val="2"/>
    </font>
    <font>
      <i/>
      <sz val="18"/>
      <color indexed="17"/>
      <name val="Arial"/>
      <family val="2"/>
    </font>
    <font>
      <sz val="18"/>
      <color indexed="17"/>
      <name val="Arial"/>
      <family val="2"/>
    </font>
    <font>
      <sz val="18"/>
      <color indexed="20"/>
      <name val="Arial"/>
      <family val="2"/>
    </font>
    <font>
      <b/>
      <i/>
      <sz val="20"/>
      <color indexed="10"/>
      <name val="Arial"/>
      <family val="2"/>
    </font>
    <font>
      <b/>
      <i/>
      <sz val="20"/>
      <color indexed="56"/>
      <name val="Arial"/>
      <family val="2"/>
    </font>
    <font>
      <b/>
      <i/>
      <sz val="20"/>
      <color indexed="17"/>
      <name val="Arial"/>
      <family val="2"/>
    </font>
    <font>
      <sz val="20"/>
      <color indexed="20"/>
      <name val="Britannic Bold"/>
      <family val="2"/>
    </font>
    <font>
      <b/>
      <sz val="20"/>
      <color indexed="20"/>
      <name val="Britannic Bold"/>
      <family val="2"/>
    </font>
    <font>
      <b/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24"/>
      <color indexed="12"/>
      <name val="Arial"/>
      <family val="2"/>
    </font>
    <font>
      <b/>
      <sz val="24"/>
      <color indexed="11"/>
      <name val="Arial"/>
      <family val="2"/>
    </font>
    <font>
      <b/>
      <i/>
      <sz val="12"/>
      <color indexed="12"/>
      <name val="Arial"/>
      <family val="2"/>
    </font>
    <font>
      <b/>
      <sz val="12"/>
      <color indexed="12"/>
      <name val="Arial"/>
      <family val="2"/>
    </font>
    <font>
      <b/>
      <i/>
      <sz val="12"/>
      <color indexed="62"/>
      <name val="Arial"/>
      <family val="2"/>
    </font>
    <font>
      <b/>
      <sz val="12"/>
      <color indexed="62"/>
      <name val="Arial"/>
      <family val="2"/>
    </font>
    <font>
      <b/>
      <sz val="18"/>
      <color indexed="9"/>
      <name val="Arial"/>
      <family val="2"/>
    </font>
    <font>
      <b/>
      <sz val="18"/>
      <color indexed="14"/>
      <name val="Arial"/>
      <family val="2"/>
    </font>
    <font>
      <sz val="18"/>
      <color indexed="14"/>
      <name val="Arial"/>
      <family val="2"/>
    </font>
    <font>
      <sz val="12"/>
      <color indexed="14"/>
      <name val="Arial"/>
      <family val="2"/>
    </font>
    <font>
      <sz val="18"/>
      <color indexed="18"/>
      <name val="Arial"/>
      <family val="2"/>
    </font>
    <font>
      <sz val="12"/>
      <color indexed="63"/>
      <name val="Arial"/>
      <family val="2"/>
    </font>
    <font>
      <b/>
      <sz val="12"/>
      <color indexed="56"/>
      <name val="Arial"/>
      <family val="2"/>
    </font>
    <font>
      <b/>
      <sz val="16"/>
      <color indexed="18"/>
      <name val="Arial"/>
      <family val="2"/>
    </font>
    <font>
      <sz val="12"/>
      <color indexed="12"/>
      <name val="Arial"/>
      <family val="2"/>
    </font>
    <font>
      <i/>
      <sz val="12"/>
      <color indexed="56"/>
      <name val="Arial"/>
      <family val="2"/>
    </font>
    <font>
      <sz val="18"/>
      <color indexed="28"/>
      <name val="Arial"/>
      <family val="2"/>
    </font>
    <font>
      <i/>
      <sz val="22"/>
      <color indexed="8"/>
      <name val="Arial"/>
      <family val="2"/>
    </font>
    <font>
      <b/>
      <i/>
      <sz val="18"/>
      <color indexed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</fills>
  <borders count="139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64"/>
      </top>
      <bottom style="thick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ck">
        <color indexed="64"/>
      </top>
      <bottom/>
      <diagonal/>
    </border>
    <border>
      <left style="thick">
        <color indexed="8"/>
      </left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8"/>
      </right>
      <top style="thick">
        <color indexed="64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ck">
        <color indexed="8"/>
      </top>
      <bottom/>
      <diagonal/>
    </border>
    <border>
      <left style="thick">
        <color indexed="64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20"/>
      </left>
      <right style="thick">
        <color indexed="20"/>
      </right>
      <top style="thick">
        <color indexed="20"/>
      </top>
      <bottom style="thick">
        <color indexed="20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179" fontId="16" fillId="0" borderId="0" applyFont="0" applyFill="0" applyBorder="0" applyAlignment="0" applyProtection="0"/>
    <xf numFmtId="196" fontId="16" fillId="0" borderId="0"/>
    <xf numFmtId="9" fontId="14" fillId="0" borderId="0" applyFont="0" applyFill="0" applyBorder="0" applyAlignment="0" applyProtection="0"/>
  </cellStyleXfs>
  <cellXfs count="1561">
    <xf numFmtId="0" fontId="0" fillId="0" borderId="0" xfId="0" applyAlignment="1"/>
    <xf numFmtId="0" fontId="0" fillId="0" borderId="0" xfId="0"/>
    <xf numFmtId="0" fontId="0" fillId="0" borderId="0" xfId="0" applyFont="1" applyAlignment="1"/>
    <xf numFmtId="0" fontId="1" fillId="0" borderId="0" xfId="0" applyFont="1" applyAlignment="1"/>
    <xf numFmtId="0" fontId="0" fillId="0" borderId="0" xfId="0" applyNumberFormat="1" applyProtection="1">
      <protection locked="0"/>
    </xf>
    <xf numFmtId="0" fontId="3" fillId="0" borderId="0" xfId="0" applyNumberFormat="1" applyFont="1" applyAlignment="1"/>
    <xf numFmtId="0" fontId="0" fillId="2" borderId="0" xfId="0" applyFont="1" applyFill="1" applyAlignment="1"/>
    <xf numFmtId="0" fontId="0" fillId="2" borderId="0" xfId="0" applyNumberFormat="1" applyFont="1" applyFill="1" applyAlignment="1"/>
    <xf numFmtId="194" fontId="0" fillId="2" borderId="0" xfId="0" applyNumberFormat="1" applyFont="1" applyFill="1" applyAlignment="1" applyProtection="1">
      <protection hidden="1"/>
    </xf>
    <xf numFmtId="0" fontId="5" fillId="2" borderId="0" xfId="0" applyNumberFormat="1" applyFont="1" applyFill="1" applyAlignment="1"/>
    <xf numFmtId="0" fontId="6" fillId="2" borderId="0" xfId="0" applyNumberFormat="1" applyFont="1" applyFill="1" applyAlignment="1" applyProtection="1">
      <protection locked="0"/>
    </xf>
    <xf numFmtId="0" fontId="7" fillId="2" borderId="0" xfId="0" applyNumberFormat="1" applyFont="1" applyFill="1" applyAlignment="1" applyProtection="1">
      <protection locked="0"/>
    </xf>
    <xf numFmtId="0" fontId="0" fillId="2" borderId="0" xfId="0" applyNumberFormat="1" applyFont="1" applyFill="1" applyAlignment="1" applyProtection="1">
      <protection locked="0"/>
    </xf>
    <xf numFmtId="0" fontId="8" fillId="2" borderId="0" xfId="0" applyNumberFormat="1" applyFont="1" applyFill="1" applyAlignment="1"/>
    <xf numFmtId="0" fontId="9" fillId="2" borderId="0" xfId="0" applyFont="1" applyFill="1" applyAlignment="1"/>
    <xf numFmtId="0" fontId="9" fillId="2" borderId="0" xfId="0" applyNumberFormat="1" applyFont="1" applyFill="1" applyAlignment="1"/>
    <xf numFmtId="0" fontId="10" fillId="0" borderId="0" xfId="0" applyNumberFormat="1" applyFont="1" applyAlignment="1"/>
    <xf numFmtId="0" fontId="11" fillId="0" borderId="0" xfId="0" applyFont="1" applyAlignment="1"/>
    <xf numFmtId="0" fontId="12" fillId="0" borderId="0" xfId="0" applyFont="1" applyAlignment="1"/>
    <xf numFmtId="0" fontId="13" fillId="0" borderId="0" xfId="0" applyNumberFormat="1" applyFont="1" applyAlignment="1"/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3" xfId="0" applyBorder="1"/>
    <xf numFmtId="0" fontId="0" fillId="0" borderId="3" xfId="0" applyFont="1" applyBorder="1" applyAlignment="1"/>
    <xf numFmtId="0" fontId="14" fillId="0" borderId="3" xfId="0" applyFont="1" applyBorder="1" applyAlignment="1"/>
    <xf numFmtId="0" fontId="0" fillId="0" borderId="3" xfId="0" applyNumberFormat="1" applyFont="1" applyBorder="1" applyAlignment="1"/>
    <xf numFmtId="0" fontId="14" fillId="0" borderId="2" xfId="0" applyFont="1" applyBorder="1" applyAlignment="1"/>
    <xf numFmtId="0" fontId="13" fillId="0" borderId="0" xfId="0" applyFont="1" applyAlignment="1"/>
    <xf numFmtId="196" fontId="16" fillId="0" borderId="0" xfId="2"/>
    <xf numFmtId="0" fontId="17" fillId="0" borderId="0" xfId="2" applyNumberFormat="1" applyFont="1" applyAlignment="1"/>
    <xf numFmtId="196" fontId="16" fillId="0" borderId="0" xfId="2" applyAlignment="1"/>
    <xf numFmtId="0" fontId="17" fillId="0" borderId="2" xfId="2" applyNumberFormat="1" applyFont="1" applyBorder="1" applyAlignment="1"/>
    <xf numFmtId="196" fontId="17" fillId="0" borderId="2" xfId="2" applyNumberFormat="1" applyFont="1" applyBorder="1" applyAlignment="1"/>
    <xf numFmtId="196" fontId="27" fillId="0" borderId="2" xfId="2" applyFont="1" applyBorder="1" applyAlignment="1"/>
    <xf numFmtId="196" fontId="23" fillId="0" borderId="0" xfId="2" applyFont="1" applyAlignment="1"/>
    <xf numFmtId="196" fontId="17" fillId="0" borderId="0" xfId="2" applyNumberFormat="1" applyFont="1" applyAlignment="1"/>
    <xf numFmtId="196" fontId="27" fillId="0" borderId="0" xfId="2" applyFont="1" applyAlignment="1"/>
    <xf numFmtId="196" fontId="28" fillId="0" borderId="0" xfId="2" applyFont="1" applyAlignment="1"/>
    <xf numFmtId="196" fontId="25" fillId="0" borderId="0" xfId="2" applyFont="1" applyAlignment="1"/>
    <xf numFmtId="196" fontId="17" fillId="0" borderId="3" xfId="2" applyNumberFormat="1" applyFont="1" applyBorder="1" applyAlignment="1"/>
    <xf numFmtId="196" fontId="25" fillId="2" borderId="0" xfId="2" applyFont="1" applyFill="1" applyAlignment="1"/>
    <xf numFmtId="196" fontId="17" fillId="2" borderId="0" xfId="2" applyFont="1" applyFill="1" applyAlignment="1"/>
    <xf numFmtId="196" fontId="17" fillId="2" borderId="3" xfId="2" applyFont="1" applyFill="1" applyBorder="1" applyAlignment="1"/>
    <xf numFmtId="196" fontId="17" fillId="2" borderId="2" xfId="2" applyFont="1" applyFill="1" applyBorder="1" applyAlignment="1"/>
    <xf numFmtId="2" fontId="17" fillId="0" borderId="0" xfId="2" applyNumberFormat="1" applyFont="1" applyAlignment="1"/>
    <xf numFmtId="196" fontId="13" fillId="0" borderId="0" xfId="2" applyNumberFormat="1" applyFont="1" applyAlignment="1"/>
    <xf numFmtId="0" fontId="17" fillId="0" borderId="3" xfId="2" applyNumberFormat="1" applyFont="1" applyBorder="1" applyAlignment="1"/>
    <xf numFmtId="0" fontId="16" fillId="0" borderId="0" xfId="2" applyNumberFormat="1" applyFont="1" applyAlignment="1"/>
    <xf numFmtId="196" fontId="27" fillId="2" borderId="0" xfId="2" applyFont="1" applyFill="1" applyAlignment="1"/>
    <xf numFmtId="196" fontId="29" fillId="0" borderId="0" xfId="2" applyFont="1" applyAlignment="1"/>
    <xf numFmtId="196" fontId="30" fillId="0" borderId="0" xfId="2" applyFont="1" applyAlignment="1"/>
    <xf numFmtId="196" fontId="31" fillId="0" borderId="0" xfId="2" applyFont="1" applyAlignment="1"/>
    <xf numFmtId="196" fontId="32" fillId="0" borderId="0" xfId="2" applyFont="1" applyAlignment="1"/>
    <xf numFmtId="3" fontId="17" fillId="0" borderId="0" xfId="2" applyNumberFormat="1" applyFont="1" applyAlignment="1"/>
    <xf numFmtId="197" fontId="17" fillId="0" borderId="0" xfId="2" applyNumberFormat="1" applyFont="1" applyAlignment="1"/>
    <xf numFmtId="196" fontId="34" fillId="0" borderId="0" xfId="2" applyFont="1" applyAlignment="1"/>
    <xf numFmtId="196" fontId="35" fillId="0" borderId="0" xfId="2" applyFont="1" applyAlignment="1"/>
    <xf numFmtId="196" fontId="36" fillId="0" borderId="0" xfId="2" applyFont="1" applyAlignment="1"/>
    <xf numFmtId="0" fontId="37" fillId="0" borderId="0" xfId="0" applyFont="1" applyAlignment="1"/>
    <xf numFmtId="0" fontId="16" fillId="0" borderId="0" xfId="0" applyFont="1" applyAlignment="1"/>
    <xf numFmtId="0" fontId="16" fillId="3" borderId="0" xfId="2" applyNumberFormat="1" applyFont="1" applyFill="1" applyAlignment="1"/>
    <xf numFmtId="196" fontId="16" fillId="3" borderId="0" xfId="2" applyNumberFormat="1" applyFont="1" applyFill="1" applyAlignment="1"/>
    <xf numFmtId="0" fontId="20" fillId="3" borderId="0" xfId="2" applyNumberFormat="1" applyFont="1" applyFill="1" applyAlignment="1"/>
    <xf numFmtId="196" fontId="20" fillId="3" borderId="0" xfId="2" applyNumberFormat="1" applyFont="1" applyFill="1" applyAlignment="1"/>
    <xf numFmtId="196" fontId="5" fillId="3" borderId="0" xfId="2" applyNumberFormat="1" applyFont="1" applyFill="1" applyAlignment="1"/>
    <xf numFmtId="196" fontId="6" fillId="3" borderId="0" xfId="2" applyNumberFormat="1" applyFont="1" applyFill="1" applyAlignment="1" applyProtection="1">
      <protection locked="0"/>
    </xf>
    <xf numFmtId="0" fontId="7" fillId="3" borderId="0" xfId="2" applyNumberFormat="1" applyFont="1" applyFill="1" applyAlignment="1" applyProtection="1">
      <protection locked="0"/>
    </xf>
    <xf numFmtId="196" fontId="7" fillId="3" borderId="0" xfId="2" applyNumberFormat="1" applyFont="1" applyFill="1" applyAlignment="1" applyProtection="1">
      <protection locked="0"/>
    </xf>
    <xf numFmtId="0" fontId="9" fillId="3" borderId="0" xfId="2" applyNumberFormat="1" applyFont="1" applyFill="1" applyAlignment="1" applyProtection="1">
      <protection locked="0"/>
    </xf>
    <xf numFmtId="196" fontId="9" fillId="3" borderId="0" xfId="2" applyNumberFormat="1" applyFont="1" applyFill="1" applyAlignment="1" applyProtection="1">
      <protection locked="0"/>
    </xf>
    <xf numFmtId="196" fontId="8" fillId="3" borderId="0" xfId="2" applyNumberFormat="1" applyFont="1" applyFill="1" applyAlignment="1"/>
    <xf numFmtId="0" fontId="9" fillId="3" borderId="0" xfId="2" applyNumberFormat="1" applyFont="1" applyFill="1" applyAlignment="1"/>
    <xf numFmtId="196" fontId="9" fillId="3" borderId="0" xfId="2" applyNumberFormat="1" applyFont="1" applyFill="1" applyAlignment="1"/>
    <xf numFmtId="15" fontId="21" fillId="3" borderId="0" xfId="2" applyNumberFormat="1" applyFont="1" applyFill="1" applyAlignment="1"/>
    <xf numFmtId="196" fontId="22" fillId="3" borderId="0" xfId="2" applyNumberFormat="1" applyFont="1" applyFill="1" applyAlignment="1"/>
    <xf numFmtId="196" fontId="22" fillId="3" borderId="3" xfId="2" applyNumberFormat="1" applyFont="1" applyFill="1" applyBorder="1" applyAlignment="1"/>
    <xf numFmtId="0" fontId="17" fillId="4" borderId="2" xfId="2" applyNumberFormat="1" applyFont="1" applyFill="1" applyBorder="1" applyAlignment="1"/>
    <xf numFmtId="196" fontId="23" fillId="4" borderId="0" xfId="2" applyNumberFormat="1" applyFont="1" applyFill="1" applyAlignment="1"/>
    <xf numFmtId="0" fontId="24" fillId="4" borderId="0" xfId="2" applyNumberFormat="1" applyFont="1" applyFill="1" applyAlignment="1"/>
    <xf numFmtId="0" fontId="17" fillId="4" borderId="0" xfId="2" applyNumberFormat="1" applyFont="1" applyFill="1" applyAlignment="1"/>
    <xf numFmtId="196" fontId="17" fillId="4" borderId="0" xfId="2" applyNumberFormat="1" applyFont="1" applyFill="1" applyAlignment="1"/>
    <xf numFmtId="0" fontId="25" fillId="4" borderId="0" xfId="2" applyNumberFormat="1" applyFont="1" applyFill="1" applyAlignment="1"/>
    <xf numFmtId="0" fontId="17" fillId="4" borderId="3" xfId="2" applyNumberFormat="1" applyFont="1" applyFill="1" applyBorder="1" applyAlignment="1"/>
    <xf numFmtId="196" fontId="25" fillId="4" borderId="0" xfId="2" applyNumberFormat="1" applyFont="1" applyFill="1" applyAlignment="1"/>
    <xf numFmtId="196" fontId="27" fillId="4" borderId="2" xfId="2" applyFont="1" applyFill="1" applyBorder="1" applyAlignment="1"/>
    <xf numFmtId="196" fontId="26" fillId="4" borderId="2" xfId="2" applyFont="1" applyFill="1" applyBorder="1" applyAlignment="1"/>
    <xf numFmtId="196" fontId="25" fillId="0" borderId="0" xfId="2" quotePrefix="1" applyFont="1" applyAlignment="1"/>
    <xf numFmtId="0" fontId="38" fillId="0" borderId="0" xfId="2" applyNumberFormat="1" applyFont="1" applyAlignment="1"/>
    <xf numFmtId="0" fontId="39" fillId="0" borderId="0" xfId="2" applyNumberFormat="1" applyFont="1" applyAlignment="1"/>
    <xf numFmtId="196" fontId="27" fillId="0" borderId="0" xfId="2" applyFont="1" applyBorder="1" applyAlignment="1"/>
    <xf numFmtId="195" fontId="17" fillId="0" borderId="0" xfId="2" applyNumberFormat="1" applyFont="1" applyAlignment="1"/>
    <xf numFmtId="0" fontId="17" fillId="0" borderId="0" xfId="2" applyNumberFormat="1" applyFont="1" applyBorder="1" applyAlignment="1"/>
    <xf numFmtId="196" fontId="26" fillId="0" borderId="0" xfId="2" applyFont="1" applyFill="1" applyBorder="1" applyAlignment="1"/>
    <xf numFmtId="198" fontId="26" fillId="0" borderId="0" xfId="2" applyNumberFormat="1" applyFont="1" applyFill="1" applyBorder="1" applyAlignment="1"/>
    <xf numFmtId="196" fontId="40" fillId="0" borderId="0" xfId="2" applyFont="1" applyAlignment="1"/>
    <xf numFmtId="0" fontId="16" fillId="5" borderId="1" xfId="2" applyNumberFormat="1" applyFont="1" applyFill="1" applyBorder="1" applyAlignment="1"/>
    <xf numFmtId="195" fontId="27" fillId="0" borderId="0" xfId="2" applyNumberFormat="1" applyFont="1" applyAlignment="1"/>
    <xf numFmtId="196" fontId="27" fillId="0" borderId="0" xfId="2" applyNumberFormat="1" applyFont="1" applyAlignment="1"/>
    <xf numFmtId="1" fontId="27" fillId="0" borderId="0" xfId="2" applyNumberFormat="1" applyFont="1" applyAlignment="1"/>
    <xf numFmtId="0" fontId="0" fillId="0" borderId="0" xfId="0" applyBorder="1"/>
    <xf numFmtId="0" fontId="0" fillId="0" borderId="0" xfId="0" applyFont="1" applyBorder="1" applyAlignment="1"/>
    <xf numFmtId="0" fontId="0" fillId="0" borderId="4" xfId="0" applyBorder="1" applyAlignment="1"/>
    <xf numFmtId="0" fontId="0" fillId="0" borderId="5" xfId="0" applyFont="1" applyBorder="1" applyAlignment="1"/>
    <xf numFmtId="0" fontId="0" fillId="0" borderId="0" xfId="0" applyBorder="1" applyAlignment="1"/>
    <xf numFmtId="0" fontId="0" fillId="0" borderId="6" xfId="0" applyNumberFormat="1" applyFont="1" applyBorder="1" applyAlignment="1"/>
    <xf numFmtId="0" fontId="0" fillId="0" borderId="5" xfId="0" applyNumberFormat="1" applyFont="1" applyBorder="1" applyAlignment="1"/>
    <xf numFmtId="196" fontId="26" fillId="6" borderId="1" xfId="2" applyFont="1" applyFill="1" applyBorder="1" applyAlignment="1" applyProtection="1">
      <protection locked="0"/>
    </xf>
    <xf numFmtId="3" fontId="26" fillId="6" borderId="1" xfId="2" applyNumberFormat="1" applyFont="1" applyFill="1" applyBorder="1" applyAlignment="1" applyProtection="1">
      <protection locked="0"/>
    </xf>
    <xf numFmtId="0" fontId="43" fillId="0" borderId="0" xfId="0" applyFont="1"/>
    <xf numFmtId="0" fontId="45" fillId="7" borderId="0" xfId="0" applyFont="1" applyFill="1" applyAlignment="1"/>
    <xf numFmtId="0" fontId="46" fillId="7" borderId="0" xfId="0" applyNumberFormat="1" applyFont="1" applyFill="1" applyAlignment="1"/>
    <xf numFmtId="0" fontId="47" fillId="7" borderId="0" xfId="0" applyFont="1" applyFill="1" applyAlignment="1"/>
    <xf numFmtId="0" fontId="48" fillId="7" borderId="0" xfId="0" applyFont="1" applyFill="1" applyAlignment="1"/>
    <xf numFmtId="0" fontId="4" fillId="7" borderId="0" xfId="0" applyFont="1" applyFill="1" applyAlignment="1"/>
    <xf numFmtId="0" fontId="4" fillId="7" borderId="0" xfId="0" applyNumberFormat="1" applyFont="1" applyFill="1" applyAlignment="1" applyProtection="1">
      <protection locked="0"/>
    </xf>
    <xf numFmtId="0" fontId="0" fillId="0" borderId="1" xfId="0" applyBorder="1" applyAlignment="1"/>
    <xf numFmtId="15" fontId="51" fillId="2" borderId="0" xfId="0" applyNumberFormat="1" applyFont="1" applyFill="1" applyAlignment="1"/>
    <xf numFmtId="0" fontId="0" fillId="0" borderId="7" xfId="0" applyBorder="1" applyAlignment="1"/>
    <xf numFmtId="0" fontId="0" fillId="0" borderId="8" xfId="0" applyFont="1" applyBorder="1" applyAlignment="1"/>
    <xf numFmtId="0" fontId="50" fillId="0" borderId="7" xfId="0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53" fillId="0" borderId="0" xfId="0" applyFont="1" applyBorder="1" applyAlignment="1"/>
    <xf numFmtId="0" fontId="53" fillId="0" borderId="0" xfId="0" applyFont="1" applyAlignment="1"/>
    <xf numFmtId="0" fontId="50" fillId="0" borderId="0" xfId="0" applyFont="1" applyAlignment="1"/>
    <xf numFmtId="2" fontId="50" fillId="0" borderId="0" xfId="0" applyNumberFormat="1" applyFont="1" applyAlignment="1"/>
    <xf numFmtId="2" fontId="0" fillId="0" borderId="0" xfId="0" applyNumberFormat="1" applyFont="1" applyBorder="1" applyAlignment="1"/>
    <xf numFmtId="0" fontId="0" fillId="0" borderId="0" xfId="0" applyNumberFormat="1" applyFont="1" applyBorder="1" applyAlignment="1"/>
    <xf numFmtId="0" fontId="54" fillId="0" borderId="0" xfId="0" applyFont="1" applyAlignment="1"/>
    <xf numFmtId="2" fontId="54" fillId="0" borderId="0" xfId="0" applyNumberFormat="1" applyFont="1" applyAlignment="1"/>
    <xf numFmtId="0" fontId="55" fillId="0" borderId="0" xfId="0" applyFont="1" applyAlignment="1"/>
    <xf numFmtId="2" fontId="54" fillId="0" borderId="0" xfId="0" applyNumberFormat="1" applyFont="1" applyBorder="1" applyAlignment="1"/>
    <xf numFmtId="2" fontId="0" fillId="0" borderId="0" xfId="0" applyNumberFormat="1" applyBorder="1" applyAlignment="1"/>
    <xf numFmtId="0" fontId="16" fillId="0" borderId="0" xfId="0" applyFont="1" applyBorder="1" applyAlignment="1"/>
    <xf numFmtId="0" fontId="0" fillId="0" borderId="6" xfId="0" applyBorder="1" applyAlignment="1"/>
    <xf numFmtId="0" fontId="0" fillId="0" borderId="9" xfId="0" quotePrefix="1" applyBorder="1" applyAlignment="1"/>
    <xf numFmtId="0" fontId="0" fillId="0" borderId="10" xfId="0" applyBorder="1" applyAlignment="1"/>
    <xf numFmtId="0" fontId="0" fillId="0" borderId="1" xfId="0" applyNumberFormat="1" applyBorder="1" applyAlignment="1"/>
    <xf numFmtId="0" fontId="0" fillId="0" borderId="5" xfId="0" applyBorder="1" applyAlignment="1"/>
    <xf numFmtId="0" fontId="0" fillId="0" borderId="1" xfId="0" applyBorder="1" applyAlignment="1">
      <alignment horizontal="left"/>
    </xf>
    <xf numFmtId="0" fontId="0" fillId="0" borderId="6" xfId="0" applyFont="1" applyBorder="1" applyAlignment="1"/>
    <xf numFmtId="2" fontId="15" fillId="0" borderId="0" xfId="0" applyNumberFormat="1" applyFont="1" applyFill="1" applyBorder="1" applyAlignment="1" applyProtection="1">
      <protection locked="0"/>
    </xf>
    <xf numFmtId="0" fontId="0" fillId="0" borderId="0" xfId="0" applyFont="1" applyFill="1" applyBorder="1" applyAlignment="1"/>
    <xf numFmtId="0" fontId="15" fillId="0" borderId="3" xfId="0" applyNumberFormat="1" applyFont="1" applyFill="1" applyBorder="1" applyAlignment="1" applyProtection="1">
      <protection locked="0"/>
    </xf>
    <xf numFmtId="0" fontId="6" fillId="3" borderId="0" xfId="0" applyNumberFormat="1" applyFont="1" applyFill="1" applyAlignment="1" applyProtection="1">
      <protection locked="0"/>
    </xf>
    <xf numFmtId="0" fontId="0" fillId="0" borderId="11" xfId="0" applyBorder="1" applyAlignment="1"/>
    <xf numFmtId="0" fontId="55" fillId="0" borderId="8" xfId="0" applyFont="1" applyBorder="1" applyAlignment="1"/>
    <xf numFmtId="1" fontId="55" fillId="0" borderId="8" xfId="0" applyNumberFormat="1" applyFont="1" applyBorder="1" applyAlignment="1"/>
    <xf numFmtId="2" fontId="55" fillId="0" borderId="8" xfId="0" applyNumberFormat="1" applyFont="1" applyBorder="1" applyAlignment="1"/>
    <xf numFmtId="2" fontId="55" fillId="0" borderId="10" xfId="0" applyNumberFormat="1" applyFont="1" applyBorder="1" applyAlignment="1"/>
    <xf numFmtId="1" fontId="41" fillId="5" borderId="1" xfId="2" quotePrefix="1" applyNumberFormat="1" applyFont="1" applyFill="1" applyBorder="1" applyAlignment="1" applyProtection="1">
      <protection locked="0"/>
    </xf>
    <xf numFmtId="196" fontId="26" fillId="0" borderId="2" xfId="2" applyFont="1" applyFill="1" applyBorder="1" applyAlignment="1" applyProtection="1">
      <protection locked="0"/>
    </xf>
    <xf numFmtId="196" fontId="17" fillId="0" borderId="0" xfId="2" applyNumberFormat="1" applyFont="1" applyBorder="1" applyAlignment="1"/>
    <xf numFmtId="196" fontId="26" fillId="0" borderId="7" xfId="2" applyFont="1" applyFill="1" applyBorder="1" applyAlignment="1" applyProtection="1">
      <protection locked="0"/>
    </xf>
    <xf numFmtId="196" fontId="26" fillId="0" borderId="12" xfId="2" applyFont="1" applyFill="1" applyBorder="1" applyAlignment="1" applyProtection="1">
      <protection locked="0"/>
    </xf>
    <xf numFmtId="196" fontId="60" fillId="0" borderId="0" xfId="2" applyFont="1" applyFill="1" applyBorder="1" applyAlignment="1" applyProtection="1">
      <protection locked="0"/>
    </xf>
    <xf numFmtId="1" fontId="26" fillId="5" borderId="13" xfId="2" applyNumberFormat="1" applyFont="1" applyFill="1" applyBorder="1" applyAlignment="1"/>
    <xf numFmtId="1" fontId="41" fillId="5" borderId="1" xfId="2" applyNumberFormat="1" applyFont="1" applyFill="1" applyBorder="1" applyAlignment="1" applyProtection="1">
      <protection locked="0"/>
    </xf>
    <xf numFmtId="0" fontId="26" fillId="5" borderId="13" xfId="2" applyNumberFormat="1" applyFont="1" applyFill="1" applyBorder="1" applyAlignment="1"/>
    <xf numFmtId="9" fontId="26" fillId="5" borderId="13" xfId="2" applyNumberFormat="1" applyFont="1" applyFill="1" applyBorder="1" applyAlignment="1"/>
    <xf numFmtId="196" fontId="27" fillId="0" borderId="0" xfId="2" applyNumberFormat="1" applyFont="1" applyBorder="1" applyAlignment="1"/>
    <xf numFmtId="196" fontId="61" fillId="0" borderId="0" xfId="2" applyFont="1" applyAlignment="1"/>
    <xf numFmtId="2" fontId="27" fillId="0" borderId="2" xfId="2" applyNumberFormat="1" applyFont="1" applyBorder="1" applyAlignment="1"/>
    <xf numFmtId="196" fontId="39" fillId="0" borderId="0" xfId="2" applyFont="1" applyAlignment="1"/>
    <xf numFmtId="196" fontId="60" fillId="0" borderId="0" xfId="2" applyFont="1" applyAlignment="1"/>
    <xf numFmtId="196" fontId="26" fillId="0" borderId="0" xfId="2" applyFont="1" applyFill="1" applyBorder="1" applyAlignment="1" applyProtection="1">
      <protection locked="0"/>
    </xf>
    <xf numFmtId="196" fontId="62" fillId="0" borderId="0" xfId="2" applyFont="1" applyFill="1" applyBorder="1" applyAlignment="1" applyProtection="1">
      <protection locked="0"/>
    </xf>
    <xf numFmtId="0" fontId="17" fillId="0" borderId="0" xfId="2" applyNumberFormat="1" applyFont="1" applyBorder="1" applyAlignment="1" applyProtection="1">
      <protection locked="0"/>
    </xf>
    <xf numFmtId="196" fontId="63" fillId="0" borderId="0" xfId="2" applyFont="1" applyBorder="1" applyAlignment="1"/>
    <xf numFmtId="1" fontId="27" fillId="0" borderId="0" xfId="2" applyNumberFormat="1" applyFont="1" applyAlignment="1" applyProtection="1"/>
    <xf numFmtId="0" fontId="0" fillId="0" borderId="14" xfId="0" applyBorder="1" applyAlignment="1"/>
    <xf numFmtId="196" fontId="64" fillId="0" borderId="0" xfId="2" applyFont="1" applyBorder="1" applyAlignment="1"/>
    <xf numFmtId="0" fontId="17" fillId="0" borderId="0" xfId="2" quotePrefix="1" applyNumberFormat="1" applyFont="1" applyAlignment="1"/>
    <xf numFmtId="0" fontId="65" fillId="0" borderId="0" xfId="2" quotePrefix="1" applyNumberFormat="1" applyFont="1" applyAlignment="1"/>
    <xf numFmtId="2" fontId="60" fillId="0" borderId="0" xfId="2" applyNumberFormat="1" applyFont="1" applyFill="1" applyBorder="1" applyAlignment="1" applyProtection="1">
      <protection locked="0"/>
    </xf>
    <xf numFmtId="2" fontId="26" fillId="6" borderId="13" xfId="2" applyNumberFormat="1" applyFont="1" applyFill="1" applyBorder="1" applyAlignment="1"/>
    <xf numFmtId="0" fontId="26" fillId="0" borderId="0" xfId="2" applyNumberFormat="1" applyFont="1" applyAlignment="1"/>
    <xf numFmtId="196" fontId="60" fillId="0" borderId="0" xfId="2" applyFont="1" applyFill="1" applyBorder="1" applyAlignment="1"/>
    <xf numFmtId="197" fontId="60" fillId="0" borderId="0" xfId="2" applyNumberFormat="1" applyFont="1" applyFill="1" applyBorder="1" applyAlignment="1" applyProtection="1">
      <protection locked="0"/>
    </xf>
    <xf numFmtId="1" fontId="60" fillId="0" borderId="0" xfId="2" applyNumberFormat="1" applyFont="1" applyFill="1" applyBorder="1" applyAlignment="1" applyProtection="1">
      <protection locked="0"/>
    </xf>
    <xf numFmtId="2" fontId="26" fillId="5" borderId="13" xfId="2" applyNumberFormat="1" applyFont="1" applyFill="1" applyBorder="1" applyAlignment="1"/>
    <xf numFmtId="2" fontId="26" fillId="0" borderId="2" xfId="2" applyNumberFormat="1" applyFont="1" applyFill="1" applyBorder="1" applyAlignment="1" applyProtection="1">
      <protection locked="0"/>
    </xf>
    <xf numFmtId="0" fontId="26" fillId="0" borderId="0" xfId="2" applyNumberFormat="1" applyFont="1" applyFill="1" applyBorder="1" applyAlignment="1"/>
    <xf numFmtId="0" fontId="17" fillId="4" borderId="0" xfId="2" applyNumberFormat="1" applyFont="1" applyFill="1" applyBorder="1" applyAlignment="1"/>
    <xf numFmtId="1" fontId="67" fillId="0" borderId="0" xfId="2" applyNumberFormat="1" applyFont="1" applyAlignment="1" applyProtection="1"/>
    <xf numFmtId="1" fontId="27" fillId="0" borderId="0" xfId="2" applyNumberFormat="1" applyFont="1" applyBorder="1" applyAlignment="1"/>
    <xf numFmtId="0" fontId="68" fillId="0" borderId="0" xfId="2" applyNumberFormat="1" applyFont="1" applyAlignment="1"/>
    <xf numFmtId="0" fontId="37" fillId="0" borderId="0" xfId="2" applyNumberFormat="1" applyFont="1" applyAlignment="1"/>
    <xf numFmtId="0" fontId="68" fillId="0" borderId="0" xfId="0" applyFont="1"/>
    <xf numFmtId="0" fontId="37" fillId="0" borderId="0" xfId="0" applyFont="1"/>
    <xf numFmtId="0" fontId="69" fillId="0" borderId="0" xfId="0" applyNumberFormat="1" applyFont="1" applyAlignment="1"/>
    <xf numFmtId="0" fontId="70" fillId="0" borderId="0" xfId="0" applyNumberFormat="1" applyFont="1" applyAlignment="1"/>
    <xf numFmtId="198" fontId="60" fillId="0" borderId="0" xfId="2" applyNumberFormat="1" applyFont="1" applyFill="1" applyBorder="1" applyAlignment="1" applyProtection="1">
      <protection locked="0"/>
    </xf>
    <xf numFmtId="1" fontId="60" fillId="0" borderId="0" xfId="2" applyNumberFormat="1" applyFont="1" applyFill="1" applyBorder="1" applyAlignment="1"/>
    <xf numFmtId="198" fontId="60" fillId="0" borderId="0" xfId="2" applyNumberFormat="1" applyFont="1" applyFill="1" applyBorder="1" applyAlignment="1"/>
    <xf numFmtId="0" fontId="71" fillId="0" borderId="0" xfId="2" applyNumberFormat="1" applyFont="1" applyAlignment="1"/>
    <xf numFmtId="196" fontId="56" fillId="0" borderId="0" xfId="2" applyFont="1" applyAlignment="1"/>
    <xf numFmtId="196" fontId="65" fillId="0" borderId="0" xfId="2" applyFont="1" applyAlignment="1"/>
    <xf numFmtId="1" fontId="60" fillId="0" borderId="0" xfId="2" applyNumberFormat="1" applyFont="1" applyAlignment="1"/>
    <xf numFmtId="196" fontId="72" fillId="0" borderId="0" xfId="2" applyFont="1" applyAlignment="1"/>
    <xf numFmtId="1" fontId="33" fillId="0" borderId="0" xfId="2" applyNumberFormat="1" applyFont="1" applyAlignment="1"/>
    <xf numFmtId="2" fontId="27" fillId="0" borderId="0" xfId="2" applyNumberFormat="1" applyFont="1" applyAlignment="1"/>
    <xf numFmtId="2" fontId="33" fillId="0" borderId="0" xfId="2" applyNumberFormat="1" applyFont="1" applyAlignment="1"/>
    <xf numFmtId="197" fontId="27" fillId="0" borderId="0" xfId="2" applyNumberFormat="1" applyFont="1" applyAlignment="1"/>
    <xf numFmtId="197" fontId="33" fillId="0" borderId="0" xfId="2" applyNumberFormat="1" applyFont="1" applyAlignment="1"/>
    <xf numFmtId="196" fontId="38" fillId="0" borderId="0" xfId="2" applyNumberFormat="1" applyFont="1" applyAlignment="1"/>
    <xf numFmtId="1" fontId="73" fillId="0" borderId="0" xfId="2" applyNumberFormat="1" applyFont="1" applyAlignment="1"/>
    <xf numFmtId="2" fontId="73" fillId="0" borderId="0" xfId="2" applyNumberFormat="1" applyFont="1" applyAlignment="1"/>
    <xf numFmtId="197" fontId="73" fillId="0" borderId="0" xfId="2" applyNumberFormat="1" applyFont="1" applyAlignment="1"/>
    <xf numFmtId="196" fontId="59" fillId="0" borderId="0" xfId="2" applyFont="1" applyAlignment="1"/>
    <xf numFmtId="196" fontId="71" fillId="0" borderId="0" xfId="2" applyFont="1" applyAlignment="1"/>
    <xf numFmtId="196" fontId="74" fillId="0" borderId="0" xfId="2" applyFont="1" applyAlignment="1"/>
    <xf numFmtId="1" fontId="75" fillId="0" borderId="0" xfId="2" applyNumberFormat="1" applyFont="1" applyAlignment="1"/>
    <xf numFmtId="2" fontId="75" fillId="0" borderId="0" xfId="2" applyNumberFormat="1" applyFont="1" applyAlignment="1"/>
    <xf numFmtId="197" fontId="75" fillId="0" borderId="0" xfId="2" applyNumberFormat="1" applyFont="1" applyAlignment="1"/>
    <xf numFmtId="1" fontId="76" fillId="0" borderId="0" xfId="2" applyNumberFormat="1" applyFont="1" applyAlignment="1"/>
    <xf numFmtId="3" fontId="65" fillId="0" borderId="0" xfId="2" applyNumberFormat="1" applyFont="1" applyAlignment="1"/>
    <xf numFmtId="2" fontId="76" fillId="0" borderId="0" xfId="2" applyNumberFormat="1" applyFont="1" applyAlignment="1"/>
    <xf numFmtId="197" fontId="76" fillId="0" borderId="0" xfId="2" applyNumberFormat="1" applyFont="1" applyAlignment="1"/>
    <xf numFmtId="0" fontId="38" fillId="0" borderId="0" xfId="2" quotePrefix="1" applyNumberFormat="1" applyFont="1" applyAlignment="1"/>
    <xf numFmtId="198" fontId="26" fillId="5" borderId="13" xfId="2" applyNumberFormat="1" applyFont="1" applyFill="1" applyBorder="1" applyAlignment="1"/>
    <xf numFmtId="1" fontId="78" fillId="0" borderId="0" xfId="2" applyNumberFormat="1" applyFont="1" applyAlignment="1"/>
    <xf numFmtId="2" fontId="78" fillId="0" borderId="0" xfId="2" applyNumberFormat="1" applyFont="1" applyAlignment="1"/>
    <xf numFmtId="197" fontId="78" fillId="0" borderId="0" xfId="2" applyNumberFormat="1" applyFont="1" applyAlignment="1"/>
    <xf numFmtId="196" fontId="41" fillId="4" borderId="7" xfId="2" applyFont="1" applyFill="1" applyBorder="1" applyAlignment="1" applyProtection="1">
      <protection locked="0"/>
    </xf>
    <xf numFmtId="196" fontId="16" fillId="0" borderId="15" xfId="2" applyBorder="1"/>
    <xf numFmtId="196" fontId="32" fillId="0" borderId="15" xfId="2" applyFont="1" applyBorder="1" applyAlignment="1"/>
    <xf numFmtId="197" fontId="27" fillId="0" borderId="15" xfId="2" applyNumberFormat="1" applyFont="1" applyBorder="1" applyAlignment="1"/>
    <xf numFmtId="197" fontId="17" fillId="0" borderId="15" xfId="2" applyNumberFormat="1" applyFont="1" applyBorder="1" applyAlignment="1"/>
    <xf numFmtId="197" fontId="33" fillId="0" borderId="15" xfId="2" applyNumberFormat="1" applyFont="1" applyBorder="1" applyAlignment="1"/>
    <xf numFmtId="197" fontId="73" fillId="0" borderId="15" xfId="2" applyNumberFormat="1" applyFont="1" applyBorder="1" applyAlignment="1"/>
    <xf numFmtId="197" fontId="75" fillId="0" borderId="15" xfId="2" applyNumberFormat="1" applyFont="1" applyBorder="1" applyAlignment="1"/>
    <xf numFmtId="195" fontId="17" fillId="0" borderId="15" xfId="2" applyNumberFormat="1" applyFont="1" applyBorder="1" applyAlignment="1"/>
    <xf numFmtId="197" fontId="76" fillId="0" borderId="15" xfId="2" applyNumberFormat="1" applyFont="1" applyBorder="1" applyAlignment="1"/>
    <xf numFmtId="195" fontId="27" fillId="0" borderId="15" xfId="2" applyNumberFormat="1" applyFont="1" applyBorder="1" applyAlignment="1"/>
    <xf numFmtId="195" fontId="16" fillId="0" borderId="15" xfId="2" applyNumberFormat="1" applyFont="1" applyBorder="1" applyAlignment="1"/>
    <xf numFmtId="197" fontId="78" fillId="0" borderId="15" xfId="2" applyNumberFormat="1" applyFont="1" applyBorder="1" applyAlignment="1"/>
    <xf numFmtId="196" fontId="16" fillId="0" borderId="0" xfId="2" applyBorder="1"/>
    <xf numFmtId="196" fontId="32" fillId="0" borderId="0" xfId="2" applyFont="1" applyBorder="1" applyAlignment="1"/>
    <xf numFmtId="3" fontId="17" fillId="0" borderId="0" xfId="2" applyNumberFormat="1" applyFont="1" applyBorder="1" applyAlignment="1"/>
    <xf numFmtId="3" fontId="65" fillId="0" borderId="0" xfId="2" applyNumberFormat="1" applyFont="1" applyBorder="1" applyAlignment="1"/>
    <xf numFmtId="0" fontId="16" fillId="0" borderId="0" xfId="2" applyNumberFormat="1" applyFont="1" applyBorder="1" applyAlignment="1"/>
    <xf numFmtId="196" fontId="16" fillId="3" borderId="0" xfId="2" applyFill="1" applyBorder="1"/>
    <xf numFmtId="196" fontId="16" fillId="3" borderId="16" xfId="2" applyFill="1" applyBorder="1"/>
    <xf numFmtId="196" fontId="16" fillId="4" borderId="0" xfId="2" applyFill="1" applyBorder="1"/>
    <xf numFmtId="196" fontId="16" fillId="4" borderId="15" xfId="2" applyFill="1" applyBorder="1"/>
    <xf numFmtId="196" fontId="16" fillId="4" borderId="17" xfId="2" applyFill="1" applyBorder="1"/>
    <xf numFmtId="196" fontId="16" fillId="4" borderId="18" xfId="2" applyFill="1" applyBorder="1"/>
    <xf numFmtId="196" fontId="16" fillId="4" borderId="16" xfId="2" applyFill="1" applyBorder="1"/>
    <xf numFmtId="196" fontId="16" fillId="4" borderId="19" xfId="2" applyFill="1" applyBorder="1"/>
    <xf numFmtId="196" fontId="34" fillId="0" borderId="12" xfId="2" applyFont="1" applyBorder="1" applyAlignment="1"/>
    <xf numFmtId="196" fontId="35" fillId="0" borderId="12" xfId="2" applyFont="1" applyBorder="1" applyAlignment="1"/>
    <xf numFmtId="196" fontId="72" fillId="0" borderId="12" xfId="2" applyFont="1" applyBorder="1" applyAlignment="1"/>
    <xf numFmtId="196" fontId="16" fillId="0" borderId="12" xfId="2" applyBorder="1" applyAlignment="1"/>
    <xf numFmtId="196" fontId="36" fillId="0" borderId="12" xfId="2" applyFont="1" applyBorder="1" applyAlignment="1"/>
    <xf numFmtId="0" fontId="16" fillId="3" borderId="3" xfId="2" applyNumberFormat="1" applyFont="1" applyFill="1" applyBorder="1" applyAlignment="1"/>
    <xf numFmtId="0" fontId="20" fillId="3" borderId="3" xfId="2" applyNumberFormat="1" applyFont="1" applyFill="1" applyBorder="1" applyAlignment="1"/>
    <xf numFmtId="196" fontId="16" fillId="3" borderId="3" xfId="2" applyNumberFormat="1" applyFont="1" applyFill="1" applyBorder="1" applyAlignment="1"/>
    <xf numFmtId="0" fontId="17" fillId="4" borderId="1" xfId="2" applyNumberFormat="1" applyFont="1" applyFill="1" applyBorder="1" applyAlignment="1"/>
    <xf numFmtId="196" fontId="13" fillId="4" borderId="3" xfId="2" applyNumberFormat="1" applyFont="1" applyFill="1" applyBorder="1" applyAlignment="1"/>
    <xf numFmtId="0" fontId="25" fillId="4" borderId="3" xfId="2" applyNumberFormat="1" applyFont="1" applyFill="1" applyBorder="1" applyAlignment="1"/>
    <xf numFmtId="196" fontId="25" fillId="4" borderId="3" xfId="2" applyNumberFormat="1" applyFont="1" applyFill="1" applyBorder="1" applyAlignment="1"/>
    <xf numFmtId="0" fontId="17" fillId="0" borderId="1" xfId="2" applyNumberFormat="1" applyFont="1" applyBorder="1" applyAlignment="1"/>
    <xf numFmtId="196" fontId="13" fillId="0" borderId="3" xfId="2" applyNumberFormat="1" applyFont="1" applyBorder="1" applyAlignment="1"/>
    <xf numFmtId="0" fontId="38" fillId="0" borderId="3" xfId="2" quotePrefix="1" applyNumberFormat="1" applyFont="1" applyBorder="1" applyAlignment="1"/>
    <xf numFmtId="196" fontId="25" fillId="0" borderId="3" xfId="2" quotePrefix="1" applyFont="1" applyBorder="1" applyAlignment="1"/>
    <xf numFmtId="196" fontId="25" fillId="0" borderId="3" xfId="2" applyFont="1" applyBorder="1" applyAlignment="1"/>
    <xf numFmtId="196" fontId="25" fillId="2" borderId="3" xfId="2" quotePrefix="1" applyFont="1" applyFill="1" applyBorder="1" applyAlignment="1"/>
    <xf numFmtId="0" fontId="16" fillId="0" borderId="3" xfId="2" applyNumberFormat="1" applyFont="1" applyBorder="1" applyAlignment="1"/>
    <xf numFmtId="196" fontId="38" fillId="0" borderId="3" xfId="2" quotePrefix="1" applyFont="1" applyBorder="1" applyAlignment="1"/>
    <xf numFmtId="0" fontId="38" fillId="0" borderId="3" xfId="2" applyNumberFormat="1" applyFont="1" applyBorder="1" applyAlignment="1"/>
    <xf numFmtId="0" fontId="39" fillId="0" borderId="3" xfId="2" applyNumberFormat="1" applyFont="1" applyBorder="1" applyAlignment="1"/>
    <xf numFmtId="0" fontId="59" fillId="0" borderId="3" xfId="2" applyNumberFormat="1" applyFont="1" applyBorder="1" applyAlignment="1"/>
    <xf numFmtId="196" fontId="59" fillId="0" borderId="3" xfId="2" applyFont="1" applyBorder="1" applyAlignment="1"/>
    <xf numFmtId="196" fontId="34" fillId="0" borderId="3" xfId="2" applyFont="1" applyBorder="1" applyAlignment="1"/>
    <xf numFmtId="196" fontId="77" fillId="0" borderId="3" xfId="2" quotePrefix="1" applyFont="1" applyBorder="1" applyAlignment="1"/>
    <xf numFmtId="196" fontId="16" fillId="0" borderId="3" xfId="2" applyBorder="1" applyAlignment="1"/>
    <xf numFmtId="196" fontId="34" fillId="0" borderId="20" xfId="2" applyFont="1" applyBorder="1" applyAlignment="1"/>
    <xf numFmtId="0" fontId="19" fillId="6" borderId="1" xfId="2" applyNumberFormat="1" applyFont="1" applyFill="1" applyBorder="1" applyAlignment="1"/>
    <xf numFmtId="0" fontId="2" fillId="6" borderId="2" xfId="2" applyNumberFormat="1" applyFont="1" applyFill="1" applyBorder="1" applyAlignment="1"/>
    <xf numFmtId="196" fontId="19" fillId="6" borderId="2" xfId="2" applyNumberFormat="1" applyFont="1" applyFill="1" applyBorder="1" applyAlignment="1"/>
    <xf numFmtId="196" fontId="16" fillId="6" borderId="2" xfId="2" applyNumberFormat="1" applyFont="1" applyFill="1" applyBorder="1" applyAlignment="1"/>
    <xf numFmtId="0" fontId="16" fillId="6" borderId="2" xfId="2" applyNumberFormat="1" applyFont="1" applyFill="1" applyBorder="1" applyAlignment="1"/>
    <xf numFmtId="196" fontId="16" fillId="5" borderId="2" xfId="2" applyFill="1" applyBorder="1"/>
    <xf numFmtId="2" fontId="26" fillId="0" borderId="0" xfId="2" applyNumberFormat="1" applyFont="1" applyFill="1" applyBorder="1" applyAlignment="1" applyProtection="1">
      <protection locked="0"/>
    </xf>
    <xf numFmtId="0" fontId="17" fillId="0" borderId="0" xfId="2" applyNumberFormat="1" applyFont="1" applyFill="1" applyAlignment="1"/>
    <xf numFmtId="196" fontId="26" fillId="0" borderId="0" xfId="2" applyNumberFormat="1" applyFont="1" applyFill="1" applyBorder="1" applyAlignment="1"/>
    <xf numFmtId="0" fontId="16" fillId="0" borderId="12" xfId="2" applyNumberFormat="1" applyFont="1" applyBorder="1" applyAlignment="1"/>
    <xf numFmtId="195" fontId="16" fillId="0" borderId="21" xfId="2" applyNumberFormat="1" applyFont="1" applyBorder="1" applyAlignment="1"/>
    <xf numFmtId="196" fontId="16" fillId="0" borderId="2" xfId="2" applyBorder="1" applyAlignment="1"/>
    <xf numFmtId="196" fontId="16" fillId="0" borderId="4" xfId="2" applyBorder="1" applyAlignment="1"/>
    <xf numFmtId="196" fontId="16" fillId="0" borderId="20" xfId="2" applyBorder="1" applyAlignment="1"/>
    <xf numFmtId="196" fontId="16" fillId="0" borderId="22" xfId="2" applyBorder="1" applyAlignment="1"/>
    <xf numFmtId="196" fontId="80" fillId="0" borderId="3" xfId="2" applyNumberFormat="1" applyFont="1" applyBorder="1" applyAlignment="1"/>
    <xf numFmtId="196" fontId="18" fillId="0" borderId="0" xfId="2" applyFont="1" applyAlignment="1"/>
    <xf numFmtId="0" fontId="4" fillId="0" borderId="0" xfId="2" applyNumberFormat="1" applyFont="1" applyAlignment="1"/>
    <xf numFmtId="196" fontId="16" fillId="0" borderId="12" xfId="2" applyBorder="1"/>
    <xf numFmtId="196" fontId="16" fillId="0" borderId="21" xfId="2" applyBorder="1"/>
    <xf numFmtId="0" fontId="0" fillId="0" borderId="17" xfId="0" applyBorder="1" applyAlignment="1"/>
    <xf numFmtId="0" fontId="0" fillId="0" borderId="23" xfId="0" applyBorder="1" applyAlignment="1"/>
    <xf numFmtId="0" fontId="16" fillId="0" borderId="0" xfId="0" applyFont="1" applyFill="1" applyBorder="1" applyAlignment="1"/>
    <xf numFmtId="0" fontId="0" fillId="0" borderId="16" xfId="0" applyFont="1" applyBorder="1" applyAlignment="1"/>
    <xf numFmtId="0" fontId="0" fillId="0" borderId="16" xfId="0" applyBorder="1" applyAlignment="1"/>
    <xf numFmtId="0" fontId="19" fillId="8" borderId="1" xfId="2" applyNumberFormat="1" applyFont="1" applyFill="1" applyBorder="1" applyAlignment="1"/>
    <xf numFmtId="0" fontId="2" fillId="8" borderId="2" xfId="2" applyNumberFormat="1" applyFont="1" applyFill="1" applyBorder="1" applyAlignment="1"/>
    <xf numFmtId="196" fontId="19" fillId="8" borderId="2" xfId="2" applyNumberFormat="1" applyFont="1" applyFill="1" applyBorder="1" applyAlignment="1"/>
    <xf numFmtId="196" fontId="16" fillId="8" borderId="2" xfId="2" applyNumberFormat="1" applyFont="1" applyFill="1" applyBorder="1" applyAlignment="1"/>
    <xf numFmtId="0" fontId="16" fillId="8" borderId="2" xfId="2" applyNumberFormat="1" applyFont="1" applyFill="1" applyBorder="1" applyAlignment="1"/>
    <xf numFmtId="196" fontId="16" fillId="8" borderId="24" xfId="2" applyFill="1" applyBorder="1"/>
    <xf numFmtId="0" fontId="16" fillId="9" borderId="3" xfId="2" applyNumberFormat="1" applyFont="1" applyFill="1" applyBorder="1" applyAlignment="1"/>
    <xf numFmtId="0" fontId="16" fillId="9" borderId="0" xfId="2" applyNumberFormat="1" applyFont="1" applyFill="1" applyAlignment="1"/>
    <xf numFmtId="196" fontId="16" fillId="9" borderId="15" xfId="2" applyFill="1" applyBorder="1"/>
    <xf numFmtId="0" fontId="20" fillId="9" borderId="0" xfId="2" applyNumberFormat="1" applyFont="1" applyFill="1" applyAlignment="1"/>
    <xf numFmtId="196" fontId="20" fillId="9" borderId="0" xfId="2" applyNumberFormat="1" applyFont="1" applyFill="1" applyAlignment="1"/>
    <xf numFmtId="0" fontId="20" fillId="9" borderId="3" xfId="2" applyNumberFormat="1" applyFont="1" applyFill="1" applyBorder="1" applyAlignment="1"/>
    <xf numFmtId="196" fontId="16" fillId="9" borderId="0" xfId="2" applyNumberFormat="1" applyFont="1" applyFill="1" applyAlignment="1"/>
    <xf numFmtId="196" fontId="5" fillId="9" borderId="0" xfId="2" applyNumberFormat="1" applyFont="1" applyFill="1" applyAlignment="1"/>
    <xf numFmtId="0" fontId="7" fillId="9" borderId="0" xfId="2" applyNumberFormat="1" applyFont="1" applyFill="1" applyAlignment="1" applyProtection="1">
      <protection locked="0"/>
    </xf>
    <xf numFmtId="196" fontId="7" fillId="9" borderId="0" xfId="2" applyNumberFormat="1" applyFont="1" applyFill="1" applyAlignment="1" applyProtection="1">
      <protection locked="0"/>
    </xf>
    <xf numFmtId="0" fontId="9" fillId="9" borderId="0" xfId="2" applyNumberFormat="1" applyFont="1" applyFill="1" applyAlignment="1" applyProtection="1">
      <protection locked="0"/>
    </xf>
    <xf numFmtId="196" fontId="16" fillId="9" borderId="3" xfId="2" applyNumberFormat="1" applyFont="1" applyFill="1" applyBorder="1" applyAlignment="1"/>
    <xf numFmtId="0" fontId="6" fillId="9" borderId="0" xfId="0" applyNumberFormat="1" applyFont="1" applyFill="1" applyAlignment="1" applyProtection="1">
      <protection locked="0"/>
    </xf>
    <xf numFmtId="196" fontId="8" fillId="9" borderId="0" xfId="2" applyNumberFormat="1" applyFont="1" applyFill="1" applyAlignment="1"/>
    <xf numFmtId="196" fontId="22" fillId="9" borderId="3" xfId="2" applyNumberFormat="1" applyFont="1" applyFill="1" applyBorder="1" applyAlignment="1"/>
    <xf numFmtId="0" fontId="17" fillId="10" borderId="1" xfId="2" applyNumberFormat="1" applyFont="1" applyFill="1" applyBorder="1" applyAlignment="1"/>
    <xf numFmtId="0" fontId="17" fillId="10" borderId="2" xfId="2" applyNumberFormat="1" applyFont="1" applyFill="1" applyBorder="1" applyAlignment="1"/>
    <xf numFmtId="196" fontId="16" fillId="10" borderId="18" xfId="2" applyFill="1" applyBorder="1"/>
    <xf numFmtId="196" fontId="13" fillId="10" borderId="3" xfId="2" applyNumberFormat="1" applyFont="1" applyFill="1" applyBorder="1" applyAlignment="1"/>
    <xf numFmtId="196" fontId="23" fillId="10" borderId="0" xfId="2" applyNumberFormat="1" applyFont="1" applyFill="1" applyAlignment="1"/>
    <xf numFmtId="0" fontId="24" fillId="10" borderId="0" xfId="2" applyNumberFormat="1" applyFont="1" applyFill="1" applyAlignment="1"/>
    <xf numFmtId="0" fontId="17" fillId="10" borderId="0" xfId="2" applyNumberFormat="1" applyFont="1" applyFill="1" applyAlignment="1"/>
    <xf numFmtId="196" fontId="16" fillId="10" borderId="15" xfId="2" applyFill="1" applyBorder="1"/>
    <xf numFmtId="0" fontId="17" fillId="10" borderId="3" xfId="2" applyNumberFormat="1" applyFont="1" applyFill="1" applyBorder="1" applyAlignment="1"/>
    <xf numFmtId="0" fontId="25" fillId="10" borderId="3" xfId="2" applyNumberFormat="1" applyFont="1" applyFill="1" applyBorder="1" applyAlignment="1"/>
    <xf numFmtId="0" fontId="25" fillId="10" borderId="0" xfId="2" applyNumberFormat="1" applyFont="1" applyFill="1" applyAlignment="1"/>
    <xf numFmtId="196" fontId="25" fillId="10" borderId="3" xfId="2" applyNumberFormat="1" applyFont="1" applyFill="1" applyBorder="1" applyAlignment="1"/>
    <xf numFmtId="196" fontId="25" fillId="10" borderId="0" xfId="2" applyNumberFormat="1" applyFont="1" applyFill="1" applyAlignment="1"/>
    <xf numFmtId="0" fontId="17" fillId="10" borderId="0" xfId="2" applyNumberFormat="1" applyFont="1" applyFill="1" applyBorder="1" applyAlignment="1"/>
    <xf numFmtId="196" fontId="16" fillId="10" borderId="19" xfId="2" applyFill="1" applyBorder="1"/>
    <xf numFmtId="196" fontId="27" fillId="10" borderId="2" xfId="2" applyFont="1" applyFill="1" applyBorder="1" applyAlignment="1"/>
    <xf numFmtId="196" fontId="26" fillId="10" borderId="2" xfId="2" applyFont="1" applyFill="1" applyBorder="1" applyAlignment="1"/>
    <xf numFmtId="196" fontId="41" fillId="10" borderId="7" xfId="2" applyFont="1" applyFill="1" applyBorder="1" applyAlignment="1" applyProtection="1">
      <protection locked="0"/>
    </xf>
    <xf numFmtId="198" fontId="26" fillId="0" borderId="0" xfId="2" applyNumberFormat="1" applyFont="1" applyFill="1" applyBorder="1" applyAlignment="1" applyProtection="1"/>
    <xf numFmtId="204" fontId="17" fillId="0" borderId="0" xfId="2" applyNumberFormat="1" applyFont="1" applyAlignment="1"/>
    <xf numFmtId="1" fontId="29" fillId="0" borderId="0" xfId="2" applyNumberFormat="1" applyFont="1" applyAlignment="1"/>
    <xf numFmtId="0" fontId="0" fillId="0" borderId="10" xfId="0" applyNumberFormat="1" applyBorder="1" applyAlignment="1"/>
    <xf numFmtId="0" fontId="0" fillId="0" borderId="25" xfId="0" applyBorder="1" applyAlignment="1"/>
    <xf numFmtId="196" fontId="81" fillId="0" borderId="2" xfId="2" applyFont="1" applyBorder="1" applyAlignment="1"/>
    <xf numFmtId="196" fontId="82" fillId="0" borderId="2" xfId="2" applyFont="1" applyBorder="1" applyAlignment="1"/>
    <xf numFmtId="196" fontId="1" fillId="0" borderId="2" xfId="2" applyFont="1" applyBorder="1" applyAlignment="1"/>
    <xf numFmtId="0" fontId="83" fillId="3" borderId="0" xfId="2" applyNumberFormat="1" applyFont="1" applyFill="1" applyAlignment="1" applyProtection="1">
      <protection locked="0"/>
    </xf>
    <xf numFmtId="0" fontId="85" fillId="9" borderId="0" xfId="2" applyNumberFormat="1" applyFont="1" applyFill="1" applyAlignment="1" applyProtection="1">
      <protection locked="0"/>
    </xf>
    <xf numFmtId="202" fontId="27" fillId="0" borderId="0" xfId="2" applyNumberFormat="1" applyFont="1" applyBorder="1" applyAlignment="1"/>
    <xf numFmtId="1" fontId="41" fillId="8" borderId="1" xfId="2" applyNumberFormat="1" applyFont="1" applyFill="1" applyBorder="1" applyAlignment="1" applyProtection="1">
      <protection locked="0"/>
    </xf>
    <xf numFmtId="1" fontId="41" fillId="8" borderId="10" xfId="2" applyNumberFormat="1" applyFont="1" applyFill="1" applyBorder="1" applyAlignment="1" applyProtection="1">
      <protection locked="0"/>
    </xf>
    <xf numFmtId="1" fontId="26" fillId="8" borderId="13" xfId="2" applyNumberFormat="1" applyFont="1" applyFill="1" applyBorder="1" applyAlignment="1"/>
    <xf numFmtId="198" fontId="26" fillId="8" borderId="13" xfId="2" applyNumberFormat="1" applyFont="1" applyFill="1" applyBorder="1" applyAlignment="1"/>
    <xf numFmtId="1" fontId="26" fillId="8" borderId="1" xfId="2" applyNumberFormat="1" applyFont="1" applyFill="1" applyBorder="1" applyAlignment="1" applyProtection="1">
      <protection locked="0"/>
    </xf>
    <xf numFmtId="196" fontId="26" fillId="8" borderId="1" xfId="2" applyFont="1" applyFill="1" applyBorder="1" applyAlignment="1" applyProtection="1">
      <protection locked="0"/>
    </xf>
    <xf numFmtId="0" fontId="16" fillId="8" borderId="1" xfId="2" applyNumberFormat="1" applyFont="1" applyFill="1" applyBorder="1" applyAlignment="1"/>
    <xf numFmtId="1" fontId="26" fillId="8" borderId="10" xfId="2" applyNumberFormat="1" applyFont="1" applyFill="1" applyBorder="1" applyAlignment="1" applyProtection="1">
      <protection locked="0"/>
    </xf>
    <xf numFmtId="198" fontId="26" fillId="8" borderId="10" xfId="2" applyNumberFormat="1" applyFont="1" applyFill="1" applyBorder="1" applyAlignment="1" applyProtection="1">
      <protection locked="0"/>
    </xf>
    <xf numFmtId="1" fontId="26" fillId="8" borderId="13" xfId="2" applyNumberFormat="1" applyFont="1" applyFill="1" applyBorder="1" applyAlignment="1" applyProtection="1"/>
    <xf numFmtId="198" fontId="26" fillId="8" borderId="13" xfId="2" applyNumberFormat="1" applyFont="1" applyFill="1" applyBorder="1" applyAlignment="1" applyProtection="1"/>
    <xf numFmtId="2" fontId="26" fillId="8" borderId="1" xfId="2" applyNumberFormat="1" applyFont="1" applyFill="1" applyBorder="1" applyAlignment="1" applyProtection="1">
      <protection locked="0"/>
    </xf>
    <xf numFmtId="2" fontId="26" fillId="8" borderId="13" xfId="2" applyNumberFormat="1" applyFont="1" applyFill="1" applyBorder="1" applyAlignment="1"/>
    <xf numFmtId="0" fontId="26" fillId="8" borderId="13" xfId="2" applyNumberFormat="1" applyFont="1" applyFill="1" applyBorder="1" applyAlignment="1"/>
    <xf numFmtId="196" fontId="26" fillId="8" borderId="10" xfId="2" applyFont="1" applyFill="1" applyBorder="1" applyAlignment="1" applyProtection="1">
      <protection locked="0"/>
    </xf>
    <xf numFmtId="3" fontId="26" fillId="8" borderId="1" xfId="2" applyNumberFormat="1" applyFont="1" applyFill="1" applyBorder="1" applyAlignment="1" applyProtection="1">
      <protection locked="0"/>
    </xf>
    <xf numFmtId="196" fontId="86" fillId="0" borderId="3" xfId="2" applyFont="1" applyFill="1" applyBorder="1" applyAlignment="1"/>
    <xf numFmtId="196" fontId="86" fillId="0" borderId="0" xfId="2" applyFont="1" applyFill="1" applyAlignment="1"/>
    <xf numFmtId="0" fontId="87" fillId="0" borderId="0" xfId="2" applyNumberFormat="1" applyFont="1" applyFill="1" applyAlignment="1"/>
    <xf numFmtId="198" fontId="88" fillId="0" borderId="0" xfId="2" applyNumberFormat="1" applyFont="1" applyFill="1" applyBorder="1" applyAlignment="1"/>
    <xf numFmtId="0" fontId="27" fillId="0" borderId="0" xfId="2" applyNumberFormat="1" applyFont="1" applyAlignment="1"/>
    <xf numFmtId="0" fontId="89" fillId="0" borderId="0" xfId="2" applyNumberFormat="1" applyFont="1" applyAlignment="1"/>
    <xf numFmtId="0" fontId="88" fillId="0" borderId="0" xfId="2" applyNumberFormat="1" applyFont="1" applyAlignment="1"/>
    <xf numFmtId="15" fontId="90" fillId="0" borderId="0" xfId="2" applyNumberFormat="1" applyFont="1" applyAlignment="1"/>
    <xf numFmtId="196" fontId="91" fillId="0" borderId="3" xfId="2" applyFont="1" applyFill="1" applyBorder="1" applyAlignment="1"/>
    <xf numFmtId="196" fontId="91" fillId="0" borderId="0" xfId="2" applyFont="1" applyFill="1" applyAlignment="1"/>
    <xf numFmtId="0" fontId="92" fillId="0" borderId="0" xfId="2" applyNumberFormat="1" applyFont="1" applyFill="1" applyAlignment="1"/>
    <xf numFmtId="0" fontId="93" fillId="0" borderId="0" xfId="2" applyNumberFormat="1" applyFont="1" applyAlignment="1"/>
    <xf numFmtId="196" fontId="94" fillId="0" borderId="0" xfId="2" applyFont="1" applyAlignment="1"/>
    <xf numFmtId="0" fontId="95" fillId="0" borderId="0" xfId="2" applyNumberFormat="1" applyFont="1" applyAlignment="1"/>
    <xf numFmtId="1" fontId="17" fillId="0" borderId="0" xfId="2" applyNumberFormat="1" applyFont="1" applyAlignment="1"/>
    <xf numFmtId="196" fontId="41" fillId="5" borderId="10" xfId="2" applyNumberFormat="1" applyFont="1" applyFill="1" applyBorder="1" applyAlignment="1" applyProtection="1">
      <protection locked="0"/>
    </xf>
    <xf numFmtId="197" fontId="16" fillId="0" borderId="0" xfId="2" applyNumberFormat="1"/>
    <xf numFmtId="0" fontId="0" fillId="0" borderId="0" xfId="0" applyFill="1" applyBorder="1" applyAlignment="1"/>
    <xf numFmtId="0" fontId="19" fillId="6" borderId="4" xfId="2" applyNumberFormat="1" applyFont="1" applyFill="1" applyBorder="1" applyAlignment="1"/>
    <xf numFmtId="0" fontId="16" fillId="3" borderId="11" xfId="2" applyNumberFormat="1" applyFont="1" applyFill="1" applyBorder="1" applyAlignment="1"/>
    <xf numFmtId="0" fontId="20" fillId="3" borderId="11" xfId="2" applyNumberFormat="1" applyFont="1" applyFill="1" applyBorder="1" applyAlignment="1"/>
    <xf numFmtId="196" fontId="16" fillId="3" borderId="11" xfId="2" applyNumberFormat="1" applyFont="1" applyFill="1" applyBorder="1" applyAlignment="1"/>
    <xf numFmtId="0" fontId="17" fillId="4" borderId="4" xfId="2" applyNumberFormat="1" applyFont="1" applyFill="1" applyBorder="1" applyAlignment="1"/>
    <xf numFmtId="196" fontId="13" fillId="4" borderId="11" xfId="2" applyNumberFormat="1" applyFont="1" applyFill="1" applyBorder="1" applyAlignment="1"/>
    <xf numFmtId="0" fontId="17" fillId="4" borderId="11" xfId="2" applyNumberFormat="1" applyFont="1" applyFill="1" applyBorder="1" applyAlignment="1"/>
    <xf numFmtId="0" fontId="25" fillId="4" borderId="11" xfId="2" applyNumberFormat="1" applyFont="1" applyFill="1" applyBorder="1" applyAlignment="1"/>
    <xf numFmtId="196" fontId="25" fillId="4" borderId="11" xfId="2" applyNumberFormat="1" applyFont="1" applyFill="1" applyBorder="1" applyAlignment="1"/>
    <xf numFmtId="0" fontId="17" fillId="0" borderId="4" xfId="2" applyNumberFormat="1" applyFont="1" applyBorder="1" applyAlignment="1"/>
    <xf numFmtId="196" fontId="13" fillId="0" borderId="11" xfId="2" applyNumberFormat="1" applyFont="1" applyBorder="1" applyAlignment="1"/>
    <xf numFmtId="0" fontId="17" fillId="0" borderId="11" xfId="2" applyNumberFormat="1" applyFont="1" applyBorder="1" applyAlignment="1"/>
    <xf numFmtId="0" fontId="38" fillId="0" borderId="11" xfId="2" quotePrefix="1" applyNumberFormat="1" applyFont="1" applyBorder="1" applyAlignment="1"/>
    <xf numFmtId="196" fontId="25" fillId="0" borderId="11" xfId="2" quotePrefix="1" applyFont="1" applyBorder="1" applyAlignment="1"/>
    <xf numFmtId="196" fontId="25" fillId="0" borderId="11" xfId="2" applyFont="1" applyBorder="1" applyAlignment="1"/>
    <xf numFmtId="196" fontId="25" fillId="2" borderId="11" xfId="2" quotePrefix="1" applyFont="1" applyFill="1" applyBorder="1" applyAlignment="1"/>
    <xf numFmtId="196" fontId="17" fillId="2" borderId="11" xfId="2" applyFont="1" applyFill="1" applyBorder="1" applyAlignment="1"/>
    <xf numFmtId="196" fontId="17" fillId="0" borderId="11" xfId="2" applyNumberFormat="1" applyFont="1" applyBorder="1" applyAlignment="1"/>
    <xf numFmtId="196" fontId="38" fillId="0" borderId="11" xfId="2" quotePrefix="1" applyFont="1" applyBorder="1" applyAlignment="1"/>
    <xf numFmtId="0" fontId="16" fillId="0" borderId="11" xfId="2" applyNumberFormat="1" applyFont="1" applyBorder="1" applyAlignment="1"/>
    <xf numFmtId="0" fontId="38" fillId="0" borderId="11" xfId="2" applyNumberFormat="1" applyFont="1" applyBorder="1" applyAlignment="1"/>
    <xf numFmtId="0" fontId="39" fillId="0" borderId="11" xfId="2" applyNumberFormat="1" applyFont="1" applyBorder="1" applyAlignment="1"/>
    <xf numFmtId="196" fontId="91" fillId="0" borderId="11" xfId="2" applyFont="1" applyFill="1" applyBorder="1" applyAlignment="1"/>
    <xf numFmtId="196" fontId="80" fillId="0" borderId="11" xfId="2" applyNumberFormat="1" applyFont="1" applyBorder="1" applyAlignment="1"/>
    <xf numFmtId="0" fontId="59" fillId="0" borderId="11" xfId="2" applyNumberFormat="1" applyFont="1" applyBorder="1" applyAlignment="1"/>
    <xf numFmtId="196" fontId="59" fillId="0" borderId="11" xfId="2" applyFont="1" applyBorder="1" applyAlignment="1"/>
    <xf numFmtId="196" fontId="34" fillId="0" borderId="11" xfId="2" applyFont="1" applyBorder="1" applyAlignment="1"/>
    <xf numFmtId="196" fontId="16" fillId="0" borderId="11" xfId="2" applyBorder="1" applyAlignment="1"/>
    <xf numFmtId="196" fontId="16" fillId="0" borderId="11" xfId="2" applyBorder="1"/>
    <xf numFmtId="197" fontId="63" fillId="0" borderId="11" xfId="2" quotePrefix="1" applyNumberFormat="1" applyFont="1" applyBorder="1" applyAlignment="1"/>
    <xf numFmtId="1" fontId="115" fillId="10" borderId="7" xfId="2" applyNumberFormat="1" applyFont="1" applyFill="1" applyBorder="1" applyAlignment="1"/>
    <xf numFmtId="196" fontId="116" fillId="10" borderId="7" xfId="2" applyFont="1" applyFill="1" applyBorder="1" applyAlignment="1"/>
    <xf numFmtId="2" fontId="115" fillId="10" borderId="7" xfId="2" applyNumberFormat="1" applyFont="1" applyFill="1" applyBorder="1" applyAlignment="1"/>
    <xf numFmtId="197" fontId="115" fillId="10" borderId="7" xfId="2" applyNumberFormat="1" applyFont="1" applyFill="1" applyBorder="1" applyAlignment="1"/>
    <xf numFmtId="0" fontId="17" fillId="0" borderId="0" xfId="0" applyFont="1" applyAlignment="1"/>
    <xf numFmtId="2" fontId="50" fillId="0" borderId="0" xfId="0" applyNumberFormat="1" applyFont="1" applyFill="1" applyAlignment="1"/>
    <xf numFmtId="0" fontId="16" fillId="0" borderId="17" xfId="0" applyFont="1" applyBorder="1" applyAlignment="1"/>
    <xf numFmtId="0" fontId="16" fillId="0" borderId="18" xfId="0" applyFont="1" applyFill="1" applyBorder="1" applyAlignment="1"/>
    <xf numFmtId="2" fontId="16" fillId="0" borderId="0" xfId="0" applyNumberFormat="1" applyFont="1" applyBorder="1" applyAlignment="1"/>
    <xf numFmtId="0" fontId="13" fillId="0" borderId="0" xfId="0" applyFont="1"/>
    <xf numFmtId="0" fontId="0" fillId="0" borderId="3" xfId="0" applyFont="1" applyBorder="1" applyAlignment="1">
      <alignment horizontal="center"/>
    </xf>
    <xf numFmtId="196" fontId="115" fillId="10" borderId="8" xfId="2" applyFont="1" applyFill="1" applyBorder="1" applyAlignment="1"/>
    <xf numFmtId="196" fontId="117" fillId="10" borderId="7" xfId="2" applyFont="1" applyFill="1" applyBorder="1" applyAlignment="1"/>
    <xf numFmtId="196" fontId="118" fillId="10" borderId="7" xfId="2" applyFont="1" applyFill="1" applyBorder="1" applyAlignment="1"/>
    <xf numFmtId="2" fontId="119" fillId="10" borderId="7" xfId="2" applyNumberFormat="1" applyFont="1" applyFill="1" applyBorder="1" applyAlignment="1"/>
    <xf numFmtId="197" fontId="119" fillId="10" borderId="7" xfId="2" applyNumberFormat="1" applyFont="1" applyFill="1" applyBorder="1" applyAlignment="1"/>
    <xf numFmtId="0" fontId="116" fillId="10" borderId="7" xfId="2" applyNumberFormat="1" applyFont="1" applyFill="1" applyBorder="1" applyAlignment="1"/>
    <xf numFmtId="197" fontId="120" fillId="10" borderId="25" xfId="2" quotePrefix="1" applyNumberFormat="1" applyFont="1" applyFill="1" applyBorder="1" applyAlignment="1"/>
    <xf numFmtId="196" fontId="79" fillId="0" borderId="4" xfId="2" applyFont="1" applyBorder="1" applyAlignment="1"/>
    <xf numFmtId="197" fontId="33" fillId="0" borderId="11" xfId="2" quotePrefix="1" applyNumberFormat="1" applyFont="1" applyBorder="1" applyAlignment="1"/>
    <xf numFmtId="197" fontId="63" fillId="0" borderId="22" xfId="2" quotePrefix="1" applyNumberFormat="1" applyFont="1" applyBorder="1" applyAlignment="1"/>
    <xf numFmtId="0" fontId="25" fillId="0" borderId="0" xfId="2" quotePrefix="1" applyNumberFormat="1" applyFont="1" applyAlignment="1"/>
    <xf numFmtId="0" fontId="25" fillId="0" borderId="0" xfId="2" applyNumberFormat="1" applyFont="1" applyAlignment="1"/>
    <xf numFmtId="196" fontId="121" fillId="10" borderId="7" xfId="2" applyFont="1" applyFill="1" applyBorder="1" applyAlignment="1"/>
    <xf numFmtId="196" fontId="121" fillId="10" borderId="26" xfId="2" applyFont="1" applyFill="1" applyBorder="1" applyAlignment="1"/>
    <xf numFmtId="196" fontId="122" fillId="10" borderId="26" xfId="2" applyFont="1" applyFill="1" applyBorder="1" applyAlignment="1"/>
    <xf numFmtId="196" fontId="121" fillId="10" borderId="25" xfId="2" applyFont="1" applyFill="1" applyBorder="1" applyAlignment="1"/>
    <xf numFmtId="1" fontId="119" fillId="0" borderId="0" xfId="2" applyNumberFormat="1" applyFont="1" applyFill="1" applyBorder="1" applyAlignment="1"/>
    <xf numFmtId="0" fontId="116" fillId="0" borderId="0" xfId="2" applyNumberFormat="1" applyFont="1" applyFill="1" applyBorder="1" applyAlignment="1"/>
    <xf numFmtId="197" fontId="120" fillId="0" borderId="0" xfId="2" quotePrefix="1" applyNumberFormat="1" applyFont="1" applyFill="1" applyBorder="1" applyAlignment="1"/>
    <xf numFmtId="196" fontId="122" fillId="10" borderId="7" xfId="2" applyFont="1" applyFill="1" applyBorder="1" applyAlignment="1"/>
    <xf numFmtId="196" fontId="123" fillId="10" borderId="7" xfId="2" applyFont="1" applyFill="1" applyBorder="1" applyAlignment="1"/>
    <xf numFmtId="2" fontId="16" fillId="0" borderId="12" xfId="2" applyNumberFormat="1" applyBorder="1" applyAlignment="1"/>
    <xf numFmtId="2" fontId="2" fillId="8" borderId="2" xfId="2" applyNumberFormat="1" applyFont="1" applyFill="1" applyBorder="1" applyAlignment="1"/>
    <xf numFmtId="2" fontId="16" fillId="9" borderId="0" xfId="2" applyNumberFormat="1" applyFont="1" applyFill="1" applyAlignment="1"/>
    <xf numFmtId="2" fontId="17" fillId="10" borderId="2" xfId="2" applyNumberFormat="1" applyFont="1" applyFill="1" applyBorder="1" applyAlignment="1"/>
    <xf numFmtId="2" fontId="17" fillId="10" borderId="0" xfId="2" applyNumberFormat="1" applyFont="1" applyFill="1" applyAlignment="1"/>
    <xf numFmtId="2" fontId="17" fillId="0" borderId="2" xfId="2" applyNumberFormat="1" applyFont="1" applyBorder="1" applyAlignment="1"/>
    <xf numFmtId="2" fontId="16" fillId="0" borderId="0" xfId="2" applyNumberFormat="1"/>
    <xf numFmtId="2" fontId="37" fillId="0" borderId="0" xfId="2" applyNumberFormat="1" applyFont="1" applyAlignment="1"/>
    <xf numFmtId="2" fontId="37" fillId="0" borderId="0" xfId="0" applyNumberFormat="1" applyFont="1"/>
    <xf numFmtId="2" fontId="88" fillId="0" borderId="0" xfId="2" applyNumberFormat="1" applyFont="1" applyAlignment="1"/>
    <xf numFmtId="2" fontId="38" fillId="0" borderId="0" xfId="2" quotePrefix="1" applyNumberFormat="1" applyFont="1" applyAlignment="1"/>
    <xf numFmtId="2" fontId="38" fillId="0" borderId="0" xfId="2" applyNumberFormat="1" applyFont="1" applyAlignment="1"/>
    <xf numFmtId="2" fontId="35" fillId="0" borderId="0" xfId="2" applyNumberFormat="1" applyFont="1" applyAlignment="1"/>
    <xf numFmtId="2" fontId="16" fillId="0" borderId="0" xfId="2" applyNumberFormat="1" applyAlignment="1"/>
    <xf numFmtId="2" fontId="35" fillId="0" borderId="12" xfId="2" applyNumberFormat="1" applyFont="1" applyBorder="1" applyAlignment="1"/>
    <xf numFmtId="2" fontId="26" fillId="0" borderId="0" xfId="2" applyNumberFormat="1" applyFont="1" applyFill="1" applyBorder="1" applyAlignment="1"/>
    <xf numFmtId="0" fontId="0" fillId="0" borderId="1" xfId="0" applyFont="1" applyBorder="1" applyAlignment="1">
      <alignment horizontal="center"/>
    </xf>
    <xf numFmtId="0" fontId="16" fillId="0" borderId="1" xfId="0" applyFont="1" applyBorder="1" applyAlignment="1"/>
    <xf numFmtId="0" fontId="16" fillId="0" borderId="3" xfId="0" applyFont="1" applyBorder="1" applyAlignment="1"/>
    <xf numFmtId="196" fontId="41" fillId="5" borderId="1" xfId="2" applyFont="1" applyFill="1" applyBorder="1" applyAlignment="1" applyProtection="1">
      <alignment horizontal="center"/>
      <protection locked="0"/>
    </xf>
    <xf numFmtId="0" fontId="0" fillId="0" borderId="20" xfId="0" applyFont="1" applyBorder="1" applyAlignment="1"/>
    <xf numFmtId="0" fontId="0" fillId="0" borderId="11" xfId="0" applyFont="1" applyBorder="1" applyAlignment="1"/>
    <xf numFmtId="0" fontId="50" fillId="0" borderId="20" xfId="0" applyFont="1" applyBorder="1" applyAlignment="1"/>
    <xf numFmtId="0" fontId="0" fillId="0" borderId="9" xfId="0" applyBorder="1" applyAlignment="1"/>
    <xf numFmtId="0" fontId="0" fillId="0" borderId="6" xfId="0" applyFont="1" applyBorder="1" applyAlignment="1">
      <alignment horizontal="center"/>
    </xf>
    <xf numFmtId="1" fontId="55" fillId="0" borderId="10" xfId="0" applyNumberFormat="1" applyFont="1" applyBorder="1" applyAlignment="1"/>
    <xf numFmtId="0" fontId="0" fillId="0" borderId="4" xfId="0" applyFont="1" applyBorder="1" applyAlignment="1"/>
    <xf numFmtId="0" fontId="98" fillId="0" borderId="0" xfId="0" applyFont="1"/>
    <xf numFmtId="2" fontId="0" fillId="0" borderId="4" xfId="0" applyNumberFormat="1" applyFont="1" applyBorder="1" applyAlignment="1"/>
    <xf numFmtId="0" fontId="0" fillId="0" borderId="12" xfId="0" applyFont="1" applyBorder="1" applyAlignment="1"/>
    <xf numFmtId="2" fontId="0" fillId="0" borderId="12" xfId="0" applyNumberFormat="1" applyFont="1" applyBorder="1" applyAlignment="1"/>
    <xf numFmtId="0" fontId="0" fillId="0" borderId="9" xfId="0" applyFont="1" applyBorder="1" applyAlignment="1"/>
    <xf numFmtId="0" fontId="16" fillId="0" borderId="5" xfId="0" applyFont="1" applyBorder="1" applyAlignment="1"/>
    <xf numFmtId="0" fontId="16" fillId="0" borderId="9" xfId="0" applyFont="1" applyBorder="1" applyAlignment="1"/>
    <xf numFmtId="0" fontId="0" fillId="0" borderId="6" xfId="0" applyFont="1" applyFill="1" applyBorder="1" applyAlignment="1"/>
    <xf numFmtId="0" fontId="16" fillId="0" borderId="5" xfId="0" applyFont="1" applyFill="1" applyBorder="1" applyAlignment="1"/>
    <xf numFmtId="0" fontId="0" fillId="0" borderId="10" xfId="0" applyFont="1" applyBorder="1" applyAlignment="1"/>
    <xf numFmtId="2" fontId="0" fillId="0" borderId="10" xfId="0" applyNumberFormat="1" applyFont="1" applyBorder="1" applyAlignment="1"/>
    <xf numFmtId="2" fontId="0" fillId="0" borderId="6" xfId="0" applyNumberFormat="1" applyFont="1" applyBorder="1" applyAlignment="1"/>
    <xf numFmtId="2" fontId="0" fillId="0" borderId="27" xfId="0" applyNumberFormat="1" applyFont="1" applyBorder="1" applyAlignment="1"/>
    <xf numFmtId="0" fontId="0" fillId="0" borderId="0" xfId="0" applyNumberFormat="1" applyBorder="1" applyAlignment="1"/>
    <xf numFmtId="0" fontId="0" fillId="0" borderId="0" xfId="0" applyNumberFormat="1" applyFill="1" applyBorder="1" applyAlignment="1"/>
    <xf numFmtId="2" fontId="55" fillId="0" borderId="0" xfId="0" applyNumberFormat="1" applyFont="1" applyFill="1" applyBorder="1" applyAlignment="1"/>
    <xf numFmtId="0" fontId="55" fillId="0" borderId="0" xfId="0" applyFont="1" applyFill="1" applyBorder="1" applyAlignment="1"/>
    <xf numFmtId="2" fontId="55" fillId="0" borderId="0" xfId="0" applyNumberFormat="1" applyFont="1" applyBorder="1" applyAlignment="1"/>
    <xf numFmtId="2" fontId="49" fillId="0" borderId="0" xfId="0" applyNumberFormat="1" applyFont="1" applyFill="1" applyBorder="1" applyAlignment="1" applyProtection="1">
      <protection locked="0"/>
    </xf>
    <xf numFmtId="0" fontId="49" fillId="0" borderId="0" xfId="0" applyNumberFormat="1" applyFont="1" applyFill="1" applyBorder="1" applyAlignment="1" applyProtection="1">
      <protection locked="0"/>
    </xf>
    <xf numFmtId="2" fontId="16" fillId="0" borderId="9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16" fillId="0" borderId="11" xfId="0" applyNumberFormat="1" applyFont="1" applyBorder="1" applyAlignment="1"/>
    <xf numFmtId="2" fontId="16" fillId="0" borderId="22" xfId="0" applyNumberFormat="1" applyFont="1" applyBorder="1" applyAlignment="1"/>
    <xf numFmtId="0" fontId="25" fillId="0" borderId="0" xfId="0" applyFont="1" applyBorder="1" applyAlignment="1"/>
    <xf numFmtId="0" fontId="16" fillId="0" borderId="6" xfId="0" applyFont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98" fillId="0" borderId="0" xfId="0" applyFont="1" applyFill="1" applyBorder="1"/>
    <xf numFmtId="0" fontId="16" fillId="0" borderId="0" xfId="0" applyFont="1" applyBorder="1" applyAlignment="1">
      <alignment horizontal="center"/>
    </xf>
    <xf numFmtId="3" fontId="16" fillId="0" borderId="9" xfId="0" applyNumberFormat="1" applyFont="1" applyBorder="1" applyAlignment="1"/>
    <xf numFmtId="3" fontId="0" fillId="0" borderId="28" xfId="0" applyNumberFormat="1" applyFont="1" applyBorder="1" applyAlignment="1"/>
    <xf numFmtId="0" fontId="16" fillId="0" borderId="29" xfId="0" applyFont="1" applyBorder="1" applyAlignment="1"/>
    <xf numFmtId="0" fontId="0" fillId="0" borderId="17" xfId="0" applyFont="1" applyBorder="1" applyAlignment="1"/>
    <xf numFmtId="0" fontId="0" fillId="0" borderId="30" xfId="0" applyFont="1" applyBorder="1" applyAlignment="1"/>
    <xf numFmtId="0" fontId="16" fillId="0" borderId="31" xfId="0" applyFont="1" applyBorder="1" applyAlignment="1"/>
    <xf numFmtId="0" fontId="0" fillId="0" borderId="32" xfId="0" applyFont="1" applyBorder="1" applyAlignment="1"/>
    <xf numFmtId="0" fontId="16" fillId="0" borderId="33" xfId="0" applyFont="1" applyBorder="1" applyAlignment="1"/>
    <xf numFmtId="0" fontId="0" fillId="0" borderId="34" xfId="0" applyFont="1" applyBorder="1" applyAlignment="1"/>
    <xf numFmtId="0" fontId="0" fillId="0" borderId="35" xfId="0" applyFont="1" applyBorder="1" applyAlignment="1"/>
    <xf numFmtId="0" fontId="124" fillId="11" borderId="36" xfId="0" applyFont="1" applyFill="1" applyBorder="1"/>
    <xf numFmtId="0" fontId="124" fillId="11" borderId="36" xfId="0" applyFont="1" applyFill="1" applyBorder="1" applyAlignment="1">
      <alignment horizontal="right"/>
    </xf>
    <xf numFmtId="3" fontId="0" fillId="0" borderId="12" xfId="0" applyNumberFormat="1" applyFont="1" applyBorder="1" applyAlignment="1"/>
    <xf numFmtId="3" fontId="0" fillId="0" borderId="10" xfId="0" applyNumberFormat="1" applyFont="1" applyBorder="1" applyAlignment="1"/>
    <xf numFmtId="3" fontId="0" fillId="0" borderId="25" xfId="0" applyNumberFormat="1" applyFont="1" applyBorder="1" applyAlignment="1"/>
    <xf numFmtId="0" fontId="16" fillId="0" borderId="16" xfId="0" applyFont="1" applyFill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0" fillId="0" borderId="37" xfId="0" applyBorder="1" applyAlignment="1"/>
    <xf numFmtId="0" fontId="125" fillId="0" borderId="0" xfId="0" applyFont="1" applyFill="1" applyBorder="1" applyAlignment="1">
      <alignment horizontal="center"/>
    </xf>
    <xf numFmtId="195" fontId="0" fillId="0" borderId="0" xfId="0" applyNumberFormat="1" applyFont="1" applyFill="1" applyBorder="1" applyAlignment="1">
      <alignment horizontal="center"/>
    </xf>
    <xf numFmtId="9" fontId="125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/>
    <xf numFmtId="197" fontId="0" fillId="0" borderId="0" xfId="0" applyNumberFormat="1" applyFont="1" applyFill="1" applyBorder="1" applyAlignment="1">
      <alignment horizontal="center"/>
    </xf>
    <xf numFmtId="195" fontId="16" fillId="0" borderId="0" xfId="0" applyNumberFormat="1" applyFont="1" applyFill="1" applyBorder="1" applyAlignment="1">
      <alignment horizontal="left"/>
    </xf>
    <xf numFmtId="0" fontId="14" fillId="0" borderId="0" xfId="0" applyFont="1" applyBorder="1" applyAlignment="1"/>
    <xf numFmtId="0" fontId="16" fillId="0" borderId="20" xfId="0" quotePrefix="1" applyFont="1" applyBorder="1" applyAlignment="1"/>
    <xf numFmtId="1" fontId="0" fillId="0" borderId="38" xfId="0" applyNumberFormat="1" applyFont="1" applyBorder="1" applyAlignment="1"/>
    <xf numFmtId="1" fontId="0" fillId="0" borderId="39" xfId="0" applyNumberFormat="1" applyFont="1" applyBorder="1" applyAlignment="1"/>
    <xf numFmtId="3" fontId="16" fillId="0" borderId="0" xfId="0" applyNumberFormat="1" applyFont="1" applyAlignment="1"/>
    <xf numFmtId="0" fontId="16" fillId="0" borderId="40" xfId="0" applyFont="1" applyFill="1" applyBorder="1" applyAlignment="1"/>
    <xf numFmtId="3" fontId="16" fillId="0" borderId="30" xfId="0" applyNumberFormat="1" applyFont="1" applyBorder="1" applyAlignment="1"/>
    <xf numFmtId="3" fontId="16" fillId="0" borderId="37" xfId="0" applyNumberFormat="1" applyFont="1" applyBorder="1" applyAlignment="1"/>
    <xf numFmtId="0" fontId="1" fillId="0" borderId="29" xfId="0" applyFont="1" applyFill="1" applyBorder="1" applyAlignment="1"/>
    <xf numFmtId="3" fontId="16" fillId="0" borderId="13" xfId="0" applyNumberFormat="1" applyFont="1" applyBorder="1" applyAlignment="1"/>
    <xf numFmtId="3" fontId="16" fillId="11" borderId="13" xfId="0" applyNumberFormat="1" applyFont="1" applyFill="1" applyBorder="1" applyAlignment="1"/>
    <xf numFmtId="0" fontId="16" fillId="0" borderId="33" xfId="0" applyFont="1" applyFill="1" applyBorder="1" applyAlignment="1"/>
    <xf numFmtId="0" fontId="0" fillId="0" borderId="41" xfId="0" applyFont="1" applyBorder="1" applyAlignment="1"/>
    <xf numFmtId="205" fontId="16" fillId="0" borderId="13" xfId="0" applyNumberFormat="1" applyFont="1" applyBorder="1" applyAlignment="1"/>
    <xf numFmtId="0" fontId="16" fillId="0" borderId="31" xfId="0" applyFont="1" applyFill="1" applyBorder="1" applyAlignment="1"/>
    <xf numFmtId="0" fontId="0" fillId="0" borderId="42" xfId="0" applyFont="1" applyBorder="1" applyAlignment="1"/>
    <xf numFmtId="0" fontId="16" fillId="0" borderId="43" xfId="0" applyFont="1" applyFill="1" applyBorder="1" applyAlignment="1"/>
    <xf numFmtId="0" fontId="0" fillId="0" borderId="44" xfId="0" applyFont="1" applyBorder="1" applyAlignment="1"/>
    <xf numFmtId="3" fontId="16" fillId="11" borderId="37" xfId="0" applyNumberFormat="1" applyFont="1" applyFill="1" applyBorder="1" applyAlignment="1"/>
    <xf numFmtId="1" fontId="15" fillId="11" borderId="45" xfId="0" applyNumberFormat="1" applyFont="1" applyFill="1" applyBorder="1" applyAlignment="1" applyProtection="1">
      <alignment horizontal="center"/>
      <protection locked="0"/>
    </xf>
    <xf numFmtId="2" fontId="15" fillId="11" borderId="45" xfId="0" applyNumberFormat="1" applyFont="1" applyFill="1" applyBorder="1" applyAlignment="1" applyProtection="1">
      <protection locked="0"/>
    </xf>
    <xf numFmtId="196" fontId="15" fillId="11" borderId="45" xfId="0" applyNumberFormat="1" applyFont="1" applyFill="1" applyBorder="1" applyAlignment="1" applyProtection="1">
      <alignment horizontal="center"/>
      <protection locked="0"/>
    </xf>
    <xf numFmtId="0" fontId="0" fillId="11" borderId="38" xfId="0" applyFill="1" applyBorder="1" applyAlignment="1"/>
    <xf numFmtId="2" fontId="15" fillId="11" borderId="45" xfId="0" applyNumberFormat="1" applyFont="1" applyFill="1" applyBorder="1" applyAlignment="1" applyProtection="1">
      <alignment horizontal="center"/>
      <protection locked="0"/>
    </xf>
    <xf numFmtId="9" fontId="15" fillId="11" borderId="45" xfId="0" applyNumberFormat="1" applyFont="1" applyFill="1" applyBorder="1" applyAlignment="1" applyProtection="1">
      <protection locked="0"/>
    </xf>
    <xf numFmtId="1" fontId="15" fillId="11" borderId="46" xfId="0" applyNumberFormat="1" applyFont="1" applyFill="1" applyBorder="1" applyAlignment="1" applyProtection="1">
      <alignment horizontal="center"/>
      <protection locked="0"/>
    </xf>
    <xf numFmtId="196" fontId="15" fillId="11" borderId="46" xfId="0" applyNumberFormat="1" applyFont="1" applyFill="1" applyBorder="1" applyAlignment="1" applyProtection="1">
      <alignment horizontal="center"/>
      <protection locked="0"/>
    </xf>
    <xf numFmtId="2" fontId="15" fillId="11" borderId="39" xfId="0" applyNumberFormat="1" applyFont="1" applyFill="1" applyBorder="1" applyAlignment="1" applyProtection="1">
      <protection locked="0"/>
    </xf>
    <xf numFmtId="2" fontId="15" fillId="11" borderId="46" xfId="0" applyNumberFormat="1" applyFont="1" applyFill="1" applyBorder="1" applyAlignment="1" applyProtection="1">
      <alignment horizontal="center"/>
      <protection locked="0"/>
    </xf>
    <xf numFmtId="9" fontId="15" fillId="11" borderId="46" xfId="0" applyNumberFormat="1" applyFont="1" applyFill="1" applyBorder="1" applyAlignment="1" applyProtection="1">
      <protection locked="0"/>
    </xf>
    <xf numFmtId="2" fontId="15" fillId="11" borderId="46" xfId="0" applyNumberFormat="1" applyFont="1" applyFill="1" applyBorder="1" applyAlignment="1" applyProtection="1">
      <protection locked="0"/>
    </xf>
    <xf numFmtId="0" fontId="15" fillId="11" borderId="3" xfId="0" applyNumberFormat="1" applyFont="1" applyFill="1" applyBorder="1" applyAlignment="1" applyProtection="1">
      <protection locked="0"/>
    </xf>
    <xf numFmtId="0" fontId="16" fillId="0" borderId="30" xfId="0" applyFont="1" applyFill="1" applyBorder="1" applyAlignment="1"/>
    <xf numFmtId="0" fontId="16" fillId="0" borderId="13" xfId="0" applyFont="1" applyFill="1" applyBorder="1" applyAlignment="1"/>
    <xf numFmtId="0" fontId="0" fillId="0" borderId="13" xfId="0" applyFont="1" applyBorder="1" applyAlignment="1"/>
    <xf numFmtId="9" fontId="16" fillId="11" borderId="13" xfId="3" applyFont="1" applyFill="1" applyBorder="1" applyAlignment="1"/>
    <xf numFmtId="0" fontId="0" fillId="0" borderId="47" xfId="0" applyFont="1" applyBorder="1" applyAlignment="1"/>
    <xf numFmtId="205" fontId="16" fillId="0" borderId="14" xfId="0" applyNumberFormat="1" applyFont="1" applyBorder="1" applyAlignment="1"/>
    <xf numFmtId="0" fontId="0" fillId="0" borderId="11" xfId="0" applyBorder="1"/>
    <xf numFmtId="0" fontId="16" fillId="0" borderId="6" xfId="0" applyFont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26" fillId="11" borderId="45" xfId="0" applyFont="1" applyFill="1" applyBorder="1" applyAlignment="1"/>
    <xf numFmtId="0" fontId="127" fillId="11" borderId="48" xfId="0" applyFont="1" applyFill="1" applyBorder="1" applyAlignment="1"/>
    <xf numFmtId="1" fontId="126" fillId="11" borderId="38" xfId="0" applyNumberFormat="1" applyFont="1" applyFill="1" applyBorder="1" applyAlignment="1"/>
    <xf numFmtId="1" fontId="126" fillId="11" borderId="49" xfId="0" applyNumberFormat="1" applyFont="1" applyFill="1" applyBorder="1" applyAlignment="1"/>
    <xf numFmtId="0" fontId="126" fillId="11" borderId="49" xfId="0" applyFont="1" applyFill="1" applyBorder="1" applyAlignment="1"/>
    <xf numFmtId="0" fontId="126" fillId="11" borderId="38" xfId="0" applyFont="1" applyFill="1" applyBorder="1" applyAlignment="1"/>
    <xf numFmtId="2" fontId="126" fillId="11" borderId="38" xfId="0" applyNumberFormat="1" applyFont="1" applyFill="1" applyBorder="1" applyAlignment="1"/>
    <xf numFmtId="0" fontId="0" fillId="0" borderId="46" xfId="0" applyFont="1" applyBorder="1" applyAlignment="1">
      <alignment horizontal="center"/>
    </xf>
    <xf numFmtId="0" fontId="126" fillId="11" borderId="46" xfId="0" applyNumberFormat="1" applyFont="1" applyFill="1" applyBorder="1" applyAlignment="1" applyProtection="1">
      <protection locked="0"/>
    </xf>
    <xf numFmtId="0" fontId="126" fillId="11" borderId="50" xfId="0" applyNumberFormat="1" applyFont="1" applyFill="1" applyBorder="1" applyAlignment="1" applyProtection="1">
      <protection locked="0"/>
    </xf>
    <xf numFmtId="1" fontId="126" fillId="11" borderId="39" xfId="0" applyNumberFormat="1" applyFont="1" applyFill="1" applyBorder="1" applyAlignment="1" applyProtection="1">
      <protection locked="0"/>
    </xf>
    <xf numFmtId="1" fontId="126" fillId="11" borderId="51" xfId="0" applyNumberFormat="1" applyFont="1" applyFill="1" applyBorder="1" applyAlignment="1" applyProtection="1">
      <protection locked="0"/>
    </xf>
    <xf numFmtId="1" fontId="126" fillId="11" borderId="39" xfId="0" applyNumberFormat="1" applyFont="1" applyFill="1" applyBorder="1" applyAlignment="1"/>
    <xf numFmtId="2" fontId="126" fillId="11" borderId="51" xfId="0" applyNumberFormat="1" applyFont="1" applyFill="1" applyBorder="1" applyAlignment="1" applyProtection="1">
      <protection locked="0"/>
    </xf>
    <xf numFmtId="0" fontId="126" fillId="11" borderId="39" xfId="0" applyFont="1" applyFill="1" applyBorder="1" applyAlignment="1"/>
    <xf numFmtId="2" fontId="126" fillId="11" borderId="39" xfId="0" applyNumberFormat="1" applyFont="1" applyFill="1" applyBorder="1" applyAlignment="1" applyProtection="1">
      <protection locked="0"/>
    </xf>
    <xf numFmtId="0" fontId="0" fillId="0" borderId="46" xfId="0" applyFont="1" applyFill="1" applyBorder="1" applyAlignment="1">
      <alignment horizontal="center"/>
    </xf>
    <xf numFmtId="0" fontId="0" fillId="11" borderId="50" xfId="0" applyFont="1" applyFill="1" applyBorder="1" applyAlignment="1"/>
    <xf numFmtId="0" fontId="0" fillId="0" borderId="52" xfId="0" applyFont="1" applyFill="1" applyBorder="1" applyAlignment="1">
      <alignment horizontal="center"/>
    </xf>
    <xf numFmtId="0" fontId="0" fillId="11" borderId="53" xfId="0" applyFont="1" applyFill="1" applyBorder="1" applyAlignment="1"/>
    <xf numFmtId="0" fontId="15" fillId="11" borderId="46" xfId="0" applyNumberFormat="1" applyFont="1" applyFill="1" applyBorder="1" applyAlignment="1" applyProtection="1">
      <protection locked="0"/>
    </xf>
    <xf numFmtId="0" fontId="15" fillId="11" borderId="51" xfId="0" applyNumberFormat="1" applyFont="1" applyFill="1" applyBorder="1" applyAlignment="1" applyProtection="1">
      <protection locked="0"/>
    </xf>
    <xf numFmtId="0" fontId="15" fillId="11" borderId="52" xfId="0" applyNumberFormat="1" applyFont="1" applyFill="1" applyBorder="1" applyAlignment="1" applyProtection="1">
      <protection locked="0"/>
    </xf>
    <xf numFmtId="0" fontId="15" fillId="11" borderId="54" xfId="0" applyNumberFormat="1" applyFont="1" applyFill="1" applyBorder="1" applyAlignment="1" applyProtection="1">
      <protection locked="0"/>
    </xf>
    <xf numFmtId="2" fontId="15" fillId="11" borderId="52" xfId="0" applyNumberFormat="1" applyFont="1" applyFill="1" applyBorder="1" applyAlignment="1" applyProtection="1">
      <protection locked="0"/>
    </xf>
    <xf numFmtId="9" fontId="15" fillId="11" borderId="52" xfId="0" applyNumberFormat="1" applyFont="1" applyFill="1" applyBorder="1" applyAlignment="1" applyProtection="1">
      <protection locked="0"/>
    </xf>
    <xf numFmtId="1" fontId="0" fillId="0" borderId="55" xfId="0" applyNumberFormat="1" applyFont="1" applyBorder="1" applyAlignment="1"/>
    <xf numFmtId="3" fontId="16" fillId="11" borderId="30" xfId="0" applyNumberFormat="1" applyFont="1" applyFill="1" applyBorder="1" applyAlignment="1"/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5" xfId="0" applyNumberFormat="1" applyFont="1" applyBorder="1" applyAlignment="1">
      <alignment horizontal="center"/>
    </xf>
    <xf numFmtId="0" fontId="16" fillId="0" borderId="11" xfId="0" applyFont="1" applyBorder="1" applyAlignment="1"/>
    <xf numFmtId="0" fontId="16" fillId="0" borderId="9" xfId="0" applyFont="1" applyBorder="1" applyAlignment="1">
      <alignment horizontal="center"/>
    </xf>
    <xf numFmtId="3" fontId="16" fillId="11" borderId="56" xfId="0" applyNumberFormat="1" applyFont="1" applyFill="1" applyBorder="1" applyAlignment="1"/>
    <xf numFmtId="3" fontId="16" fillId="11" borderId="57" xfId="0" applyNumberFormat="1" applyFont="1" applyFill="1" applyBorder="1" applyAlignment="1"/>
    <xf numFmtId="3" fontId="16" fillId="11" borderId="58" xfId="0" applyNumberFormat="1" applyFont="1" applyFill="1" applyBorder="1" applyAlignment="1"/>
    <xf numFmtId="0" fontId="16" fillId="0" borderId="56" xfId="0" applyFont="1" applyFill="1" applyBorder="1" applyAlignment="1"/>
    <xf numFmtId="0" fontId="0" fillId="0" borderId="56" xfId="0" applyFont="1" applyBorder="1" applyAlignment="1"/>
    <xf numFmtId="0" fontId="0" fillId="0" borderId="29" xfId="0" applyBorder="1" applyAlignment="1"/>
    <xf numFmtId="0" fontId="16" fillId="0" borderId="15" xfId="0" applyFont="1" applyBorder="1" applyAlignment="1"/>
    <xf numFmtId="0" fontId="53" fillId="0" borderId="15" xfId="0" applyFont="1" applyBorder="1" applyAlignment="1"/>
    <xf numFmtId="0" fontId="16" fillId="0" borderId="14" xfId="0" applyFont="1" applyBorder="1" applyAlignment="1">
      <alignment horizontal="center"/>
    </xf>
    <xf numFmtId="0" fontId="16" fillId="0" borderId="23" xfId="0" applyFont="1" applyBorder="1" applyAlignment="1"/>
    <xf numFmtId="0" fontId="0" fillId="0" borderId="40" xfId="0" applyBorder="1" applyAlignment="1"/>
    <xf numFmtId="0" fontId="16" fillId="0" borderId="37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40" xfId="0" quotePrefix="1" applyFont="1" applyBorder="1" applyAlignment="1">
      <alignment horizontal="center"/>
    </xf>
    <xf numFmtId="0" fontId="16" fillId="0" borderId="31" xfId="0" quotePrefix="1" applyFont="1" applyBorder="1" applyAlignment="1"/>
    <xf numFmtId="3" fontId="0" fillId="0" borderId="59" xfId="0" applyNumberFormat="1" applyBorder="1" applyAlignment="1"/>
    <xf numFmtId="0" fontId="0" fillId="0" borderId="32" xfId="0" applyBorder="1" applyAlignment="1"/>
    <xf numFmtId="3" fontId="16" fillId="0" borderId="31" xfId="0" applyNumberFormat="1" applyFont="1" applyBorder="1" applyAlignment="1"/>
    <xf numFmtId="0" fontId="16" fillId="0" borderId="43" xfId="0" quotePrefix="1" applyFont="1" applyBorder="1" applyAlignment="1"/>
    <xf numFmtId="3" fontId="0" fillId="0" borderId="56" xfId="0" applyNumberFormat="1" applyFont="1" applyBorder="1" applyAlignment="1"/>
    <xf numFmtId="0" fontId="55" fillId="0" borderId="35" xfId="0" applyFont="1" applyBorder="1" applyAlignment="1"/>
    <xf numFmtId="0" fontId="53" fillId="0" borderId="43" xfId="0" applyFont="1" applyBorder="1" applyAlignment="1"/>
    <xf numFmtId="0" fontId="16" fillId="0" borderId="1" xfId="0" applyFont="1" applyBorder="1" applyAlignment="1">
      <alignment horizontal="left"/>
    </xf>
    <xf numFmtId="0" fontId="16" fillId="0" borderId="1" xfId="0" applyNumberFormat="1" applyFont="1" applyBorder="1" applyAlignment="1"/>
    <xf numFmtId="0" fontId="0" fillId="0" borderId="4" xfId="0" applyNumberFormat="1" applyBorder="1" applyAlignment="1"/>
    <xf numFmtId="0" fontId="15" fillId="0" borderId="1" xfId="0" applyNumberFormat="1" applyFont="1" applyFill="1" applyBorder="1" applyAlignment="1" applyProtection="1">
      <protection locked="0"/>
    </xf>
    <xf numFmtId="2" fontId="15" fillId="0" borderId="11" xfId="0" applyNumberFormat="1" applyFont="1" applyFill="1" applyBorder="1" applyAlignment="1" applyProtection="1">
      <protection locked="0"/>
    </xf>
    <xf numFmtId="0" fontId="15" fillId="0" borderId="20" xfId="0" applyNumberFormat="1" applyFont="1" applyFill="1" applyBorder="1" applyAlignment="1" applyProtection="1">
      <protection locked="0"/>
    </xf>
    <xf numFmtId="2" fontId="15" fillId="0" borderId="22" xfId="0" applyNumberFormat="1" applyFont="1" applyFill="1" applyBorder="1" applyAlignment="1" applyProtection="1">
      <protection locked="0"/>
    </xf>
    <xf numFmtId="0" fontId="16" fillId="0" borderId="23" xfId="0" applyFont="1" applyFill="1" applyBorder="1" applyAlignment="1">
      <alignment horizontal="center"/>
    </xf>
    <xf numFmtId="0" fontId="16" fillId="0" borderId="15" xfId="0" applyFont="1" applyFill="1" applyBorder="1" applyAlignment="1"/>
    <xf numFmtId="0" fontId="0" fillId="0" borderId="30" xfId="0" applyBorder="1" applyAlignment="1">
      <alignment horizontal="center"/>
    </xf>
    <xf numFmtId="0" fontId="16" fillId="0" borderId="37" xfId="0" quotePrefix="1" applyFont="1" applyBorder="1" applyAlignment="1">
      <alignment horizontal="center"/>
    </xf>
    <xf numFmtId="0" fontId="53" fillId="0" borderId="14" xfId="0" applyFont="1" applyBorder="1" applyAlignment="1"/>
    <xf numFmtId="0" fontId="53" fillId="0" borderId="59" xfId="0" applyFont="1" applyBorder="1" applyAlignment="1"/>
    <xf numFmtId="3" fontId="16" fillId="0" borderId="56" xfId="0" applyNumberFormat="1" applyFont="1" applyBorder="1" applyAlignment="1"/>
    <xf numFmtId="4" fontId="16" fillId="3" borderId="42" xfId="0" applyNumberFormat="1" applyFont="1" applyFill="1" applyBorder="1" applyAlignment="1"/>
    <xf numFmtId="3" fontId="126" fillId="11" borderId="13" xfId="0" applyNumberFormat="1" applyFont="1" applyFill="1" applyBorder="1" applyAlignment="1"/>
    <xf numFmtId="3" fontId="126" fillId="11" borderId="37" xfId="0" applyNumberFormat="1" applyFont="1" applyFill="1" applyBorder="1" applyAlignment="1"/>
    <xf numFmtId="9" fontId="126" fillId="11" borderId="13" xfId="3" applyFont="1" applyFill="1" applyBorder="1" applyAlignment="1"/>
    <xf numFmtId="4" fontId="16" fillId="12" borderId="9" xfId="0" applyNumberFormat="1" applyFont="1" applyFill="1" applyBorder="1" applyAlignment="1" applyProtection="1">
      <protection locked="0"/>
    </xf>
    <xf numFmtId="4" fontId="16" fillId="3" borderId="10" xfId="0" applyNumberFormat="1" applyFont="1" applyFill="1" applyBorder="1" applyAlignment="1" applyProtection="1">
      <protection locked="0"/>
    </xf>
    <xf numFmtId="4" fontId="16" fillId="12" borderId="10" xfId="0" applyNumberFormat="1" applyFont="1" applyFill="1" applyBorder="1" applyAlignment="1" applyProtection="1">
      <protection locked="0"/>
    </xf>
    <xf numFmtId="4" fontId="16" fillId="12" borderId="44" xfId="0" applyNumberFormat="1" applyFont="1" applyFill="1" applyBorder="1" applyAlignment="1"/>
    <xf numFmtId="0" fontId="0" fillId="0" borderId="60" xfId="0" applyFont="1" applyBorder="1" applyAlignment="1"/>
    <xf numFmtId="212" fontId="0" fillId="0" borderId="0" xfId="0" applyNumberFormat="1" applyBorder="1" applyAlignment="1"/>
    <xf numFmtId="204" fontId="0" fillId="0" borderId="56" xfId="0" applyNumberFormat="1" applyFont="1" applyBorder="1" applyAlignment="1">
      <alignment horizontal="center"/>
    </xf>
    <xf numFmtId="0" fontId="16" fillId="0" borderId="60" xfId="0" applyNumberFormat="1" applyFont="1" applyBorder="1" applyAlignment="1">
      <alignment horizontal="center"/>
    </xf>
    <xf numFmtId="0" fontId="0" fillId="0" borderId="61" xfId="0" applyBorder="1"/>
    <xf numFmtId="0" fontId="0" fillId="0" borderId="17" xfId="0" applyBorder="1"/>
    <xf numFmtId="0" fontId="16" fillId="0" borderId="62" xfId="0" applyNumberFormat="1" applyFont="1" applyBorder="1" applyAlignment="1">
      <alignment horizontal="center"/>
    </xf>
    <xf numFmtId="0" fontId="16" fillId="0" borderId="62" xfId="0" applyFont="1" applyBorder="1" applyAlignment="1"/>
    <xf numFmtId="0" fontId="0" fillId="0" borderId="63" xfId="0" applyBorder="1"/>
    <xf numFmtId="0" fontId="0" fillId="0" borderId="16" xfId="0" applyBorder="1"/>
    <xf numFmtId="0" fontId="16" fillId="0" borderId="64" xfId="0" applyNumberFormat="1" applyFont="1" applyBorder="1" applyAlignment="1">
      <alignment horizontal="center"/>
    </xf>
    <xf numFmtId="0" fontId="16" fillId="0" borderId="65" xfId="0" applyNumberFormat="1" applyFont="1" applyBorder="1" applyAlignment="1">
      <alignment horizontal="center"/>
    </xf>
    <xf numFmtId="0" fontId="0" fillId="0" borderId="0" xfId="0" applyNumberFormat="1" applyFont="1" applyFill="1" applyBorder="1" applyAlignment="1" applyProtection="1">
      <protection locked="0"/>
    </xf>
    <xf numFmtId="2" fontId="58" fillId="0" borderId="0" xfId="0" applyNumberFormat="1" applyFont="1" applyFill="1" applyBorder="1" applyAlignment="1" applyProtection="1">
      <protection locked="0"/>
    </xf>
    <xf numFmtId="198" fontId="50" fillId="0" borderId="0" xfId="3" applyNumberFormat="1" applyFont="1" applyAlignment="1"/>
    <xf numFmtId="0" fontId="0" fillId="0" borderId="8" xfId="0" applyFont="1" applyBorder="1" applyAlignment="1">
      <alignment horizontal="center"/>
    </xf>
    <xf numFmtId="0" fontId="16" fillId="0" borderId="66" xfId="0" applyFont="1" applyBorder="1"/>
    <xf numFmtId="3" fontId="0" fillId="0" borderId="15" xfId="0" applyNumberFormat="1" applyBorder="1" applyAlignment="1">
      <alignment horizontal="center"/>
    </xf>
    <xf numFmtId="0" fontId="16" fillId="0" borderId="8" xfId="0" applyFont="1" applyBorder="1" applyAlignment="1"/>
    <xf numFmtId="2" fontId="126" fillId="11" borderId="10" xfId="0" applyNumberFormat="1" applyFont="1" applyFill="1" applyBorder="1" applyAlignment="1"/>
    <xf numFmtId="0" fontId="16" fillId="0" borderId="40" xfId="0" applyFont="1" applyBorder="1" applyAlignment="1"/>
    <xf numFmtId="0" fontId="16" fillId="0" borderId="29" xfId="0" applyFont="1" applyBorder="1" applyAlignment="1">
      <alignment horizontal="center"/>
    </xf>
    <xf numFmtId="204" fontId="0" fillId="0" borderId="0" xfId="0" applyNumberFormat="1" applyFont="1" applyBorder="1" applyAlignment="1"/>
    <xf numFmtId="204" fontId="16" fillId="0" borderId="0" xfId="0" applyNumberFormat="1" applyFont="1" applyBorder="1" applyAlignment="1"/>
    <xf numFmtId="0" fontId="16" fillId="0" borderId="19" xfId="0" applyFont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16" fillId="0" borderId="67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0" fontId="53" fillId="0" borderId="67" xfId="0" applyFont="1" applyBorder="1" applyAlignment="1"/>
    <xf numFmtId="0" fontId="53" fillId="0" borderId="68" xfId="0" applyFont="1" applyBorder="1" applyAlignment="1"/>
    <xf numFmtId="0" fontId="16" fillId="0" borderId="69" xfId="0" applyFont="1" applyBorder="1" applyAlignment="1">
      <alignment horizontal="center"/>
    </xf>
    <xf numFmtId="204" fontId="16" fillId="0" borderId="31" xfId="0" applyNumberFormat="1" applyFont="1" applyBorder="1" applyAlignment="1"/>
    <xf numFmtId="204" fontId="16" fillId="0" borderId="70" xfId="0" applyNumberFormat="1" applyFont="1" applyBorder="1" applyAlignment="1"/>
    <xf numFmtId="204" fontId="16" fillId="0" borderId="42" xfId="0" applyNumberFormat="1" applyFont="1" applyBorder="1" applyAlignment="1"/>
    <xf numFmtId="204" fontId="16" fillId="0" borderId="33" xfId="0" applyNumberFormat="1" applyFont="1" applyBorder="1" applyAlignment="1"/>
    <xf numFmtId="204" fontId="16" fillId="0" borderId="71" xfId="0" applyNumberFormat="1" applyFont="1" applyBorder="1" applyAlignment="1"/>
    <xf numFmtId="204" fontId="16" fillId="0" borderId="41" xfId="0" applyNumberFormat="1" applyFont="1" applyBorder="1" applyAlignment="1"/>
    <xf numFmtId="204" fontId="0" fillId="0" borderId="43" xfId="0" applyNumberFormat="1" applyFont="1" applyBorder="1" applyAlignment="1"/>
    <xf numFmtId="204" fontId="0" fillId="0" borderId="69" xfId="0" applyNumberFormat="1" applyFont="1" applyBorder="1" applyAlignment="1"/>
    <xf numFmtId="0" fontId="0" fillId="0" borderId="59" xfId="0" applyBorder="1"/>
    <xf numFmtId="0" fontId="0" fillId="0" borderId="57" xfId="0" applyBorder="1"/>
    <xf numFmtId="0" fontId="0" fillId="0" borderId="57" xfId="0" applyFont="1" applyBorder="1" applyAlignment="1"/>
    <xf numFmtId="0" fontId="0" fillId="0" borderId="56" xfId="0" quotePrefix="1" applyFont="1" applyFill="1" applyBorder="1" applyAlignment="1"/>
    <xf numFmtId="0" fontId="126" fillId="11" borderId="72" xfId="0" applyFont="1" applyFill="1" applyBorder="1" applyAlignment="1">
      <alignment horizontal="center"/>
    </xf>
    <xf numFmtId="0" fontId="126" fillId="11" borderId="73" xfId="0" applyFont="1" applyFill="1" applyBorder="1" applyAlignment="1">
      <alignment horizontal="center"/>
    </xf>
    <xf numFmtId="2" fontId="126" fillId="11" borderId="72" xfId="0" applyNumberFormat="1" applyFont="1" applyFill="1" applyBorder="1" applyAlignment="1">
      <alignment horizontal="center"/>
    </xf>
    <xf numFmtId="2" fontId="126" fillId="11" borderId="73" xfId="0" applyNumberFormat="1" applyFont="1" applyFill="1" applyBorder="1" applyAlignment="1">
      <alignment horizontal="center"/>
    </xf>
    <xf numFmtId="1" fontId="126" fillId="11" borderId="74" xfId="0" applyNumberFormat="1" applyFont="1" applyFill="1" applyBorder="1" applyAlignment="1">
      <alignment horizontal="center"/>
    </xf>
    <xf numFmtId="1" fontId="126" fillId="11" borderId="75" xfId="0" applyNumberFormat="1" applyFont="1" applyFill="1" applyBorder="1" applyAlignment="1">
      <alignment horizontal="center"/>
    </xf>
    <xf numFmtId="2" fontId="126" fillId="11" borderId="74" xfId="0" applyNumberFormat="1" applyFont="1" applyFill="1" applyBorder="1" applyAlignment="1">
      <alignment horizontal="center"/>
    </xf>
    <xf numFmtId="2" fontId="126" fillId="11" borderId="75" xfId="0" applyNumberFormat="1" applyFont="1" applyFill="1" applyBorder="1" applyAlignment="1">
      <alignment horizontal="center"/>
    </xf>
    <xf numFmtId="0" fontId="126" fillId="11" borderId="74" xfId="0" applyFont="1" applyFill="1" applyBorder="1" applyAlignment="1">
      <alignment horizontal="center"/>
    </xf>
    <xf numFmtId="0" fontId="126" fillId="11" borderId="75" xfId="0" applyFont="1" applyFill="1" applyBorder="1" applyAlignment="1">
      <alignment horizontal="center"/>
    </xf>
    <xf numFmtId="0" fontId="0" fillId="0" borderId="76" xfId="0" applyFont="1" applyFill="1" applyBorder="1" applyAlignment="1">
      <alignment horizontal="center"/>
    </xf>
    <xf numFmtId="0" fontId="0" fillId="0" borderId="19" xfId="0" applyFont="1" applyFill="1" applyBorder="1" applyAlignment="1">
      <alignment horizontal="center"/>
    </xf>
    <xf numFmtId="3" fontId="60" fillId="0" borderId="0" xfId="2" applyNumberFormat="1" applyFont="1" applyFill="1" applyBorder="1" applyAlignment="1" applyProtection="1">
      <protection locked="0"/>
    </xf>
    <xf numFmtId="196" fontId="115" fillId="0" borderId="3" xfId="2" applyFont="1" applyFill="1" applyBorder="1" applyAlignment="1"/>
    <xf numFmtId="196" fontId="117" fillId="0" borderId="0" xfId="2" applyFont="1" applyFill="1" applyBorder="1" applyAlignment="1"/>
    <xf numFmtId="196" fontId="118" fillId="0" borderId="0" xfId="2" applyFont="1" applyFill="1" applyBorder="1" applyAlignment="1"/>
    <xf numFmtId="196" fontId="116" fillId="0" borderId="0" xfId="2" applyFont="1" applyFill="1" applyBorder="1" applyAlignment="1"/>
    <xf numFmtId="2" fontId="119" fillId="0" borderId="0" xfId="2" applyNumberFormat="1" applyFont="1" applyFill="1" applyBorder="1" applyAlignment="1"/>
    <xf numFmtId="197" fontId="119" fillId="0" borderId="0" xfId="2" applyNumberFormat="1" applyFont="1" applyFill="1" applyBorder="1" applyAlignment="1"/>
    <xf numFmtId="197" fontId="120" fillId="0" borderId="4" xfId="2" quotePrefix="1" applyNumberFormat="1" applyFont="1" applyFill="1" applyBorder="1" applyAlignment="1"/>
    <xf numFmtId="197" fontId="120" fillId="0" borderId="11" xfId="2" quotePrefix="1" applyNumberFormat="1" applyFont="1" applyFill="1" applyBorder="1" applyAlignment="1"/>
    <xf numFmtId="3" fontId="33" fillId="0" borderId="0" xfId="2" applyNumberFormat="1" applyFont="1" applyAlignment="1"/>
    <xf numFmtId="3" fontId="73" fillId="0" borderId="0" xfId="2" applyNumberFormat="1" applyFont="1" applyAlignment="1"/>
    <xf numFmtId="3" fontId="75" fillId="0" borderId="0" xfId="2" applyNumberFormat="1" applyFont="1" applyAlignment="1"/>
    <xf numFmtId="3" fontId="78" fillId="0" borderId="0" xfId="2" applyNumberFormat="1" applyFont="1" applyAlignment="1"/>
    <xf numFmtId="3" fontId="27" fillId="0" borderId="0" xfId="2" applyNumberFormat="1" applyFont="1" applyAlignment="1"/>
    <xf numFmtId="3" fontId="76" fillId="0" borderId="0" xfId="2" applyNumberFormat="1" applyFont="1" applyAlignment="1"/>
    <xf numFmtId="3" fontId="16" fillId="0" borderId="0" xfId="2" applyNumberFormat="1" applyAlignment="1"/>
    <xf numFmtId="3" fontId="35" fillId="0" borderId="0" xfId="2" applyNumberFormat="1" applyFont="1" applyAlignment="1"/>
    <xf numFmtId="3" fontId="119" fillId="10" borderId="7" xfId="2" applyNumberFormat="1" applyFont="1" applyFill="1" applyBorder="1" applyAlignment="1"/>
    <xf numFmtId="3" fontId="118" fillId="10" borderId="7" xfId="2" applyNumberFormat="1" applyFont="1" applyFill="1" applyBorder="1" applyAlignment="1"/>
    <xf numFmtId="3" fontId="119" fillId="0" borderId="0" xfId="2" applyNumberFormat="1" applyFont="1" applyFill="1" applyBorder="1" applyAlignment="1"/>
    <xf numFmtId="3" fontId="118" fillId="0" borderId="0" xfId="2" applyNumberFormat="1" applyFont="1" applyFill="1" applyBorder="1" applyAlignment="1"/>
    <xf numFmtId="196" fontId="128" fillId="13" borderId="8" xfId="2" applyFont="1" applyFill="1" applyBorder="1" applyAlignment="1"/>
    <xf numFmtId="196" fontId="129" fillId="13" borderId="7" xfId="2" applyFont="1" applyFill="1" applyBorder="1" applyAlignment="1"/>
    <xf numFmtId="196" fontId="130" fillId="13" borderId="7" xfId="2" applyFont="1" applyFill="1" applyBorder="1" applyAlignment="1"/>
    <xf numFmtId="196" fontId="131" fillId="13" borderId="7" xfId="2" applyFont="1" applyFill="1" applyBorder="1" applyAlignment="1"/>
    <xf numFmtId="3" fontId="132" fillId="13" borderId="7" xfId="2" applyNumberFormat="1" applyFont="1" applyFill="1" applyBorder="1" applyAlignment="1"/>
    <xf numFmtId="3" fontId="130" fillId="13" borderId="7" xfId="2" applyNumberFormat="1" applyFont="1" applyFill="1" applyBorder="1" applyAlignment="1"/>
    <xf numFmtId="2" fontId="132" fillId="13" borderId="7" xfId="2" applyNumberFormat="1" applyFont="1" applyFill="1" applyBorder="1" applyAlignment="1"/>
    <xf numFmtId="197" fontId="132" fillId="13" borderId="7" xfId="2" applyNumberFormat="1" applyFont="1" applyFill="1" applyBorder="1" applyAlignment="1"/>
    <xf numFmtId="0" fontId="131" fillId="13" borderId="7" xfId="2" applyNumberFormat="1" applyFont="1" applyFill="1" applyBorder="1" applyAlignment="1"/>
    <xf numFmtId="197" fontId="133" fillId="13" borderId="25" xfId="2" quotePrefix="1" applyNumberFormat="1" applyFont="1" applyFill="1" applyBorder="1" applyAlignment="1"/>
    <xf numFmtId="196" fontId="134" fillId="14" borderId="8" xfId="2" applyFont="1" applyFill="1" applyBorder="1" applyAlignment="1"/>
    <xf numFmtId="196" fontId="135" fillId="14" borderId="7" xfId="2" applyFont="1" applyFill="1" applyBorder="1" applyAlignment="1"/>
    <xf numFmtId="196" fontId="136" fillId="14" borderId="7" xfId="2" applyFont="1" applyFill="1" applyBorder="1" applyAlignment="1"/>
    <xf numFmtId="196" fontId="137" fillId="14" borderId="7" xfId="2" applyFont="1" applyFill="1" applyBorder="1" applyAlignment="1"/>
    <xf numFmtId="3" fontId="138" fillId="14" borderId="7" xfId="2" applyNumberFormat="1" applyFont="1" applyFill="1" applyBorder="1" applyAlignment="1"/>
    <xf numFmtId="3" fontId="136" fillId="14" borderId="7" xfId="2" applyNumberFormat="1" applyFont="1" applyFill="1" applyBorder="1" applyAlignment="1"/>
    <xf numFmtId="2" fontId="138" fillId="14" borderId="7" xfId="2" applyNumberFormat="1" applyFont="1" applyFill="1" applyBorder="1" applyAlignment="1"/>
    <xf numFmtId="197" fontId="138" fillId="14" borderId="7" xfId="2" applyNumberFormat="1" applyFont="1" applyFill="1" applyBorder="1" applyAlignment="1"/>
    <xf numFmtId="0" fontId="137" fillId="14" borderId="7" xfId="2" applyNumberFormat="1" applyFont="1" applyFill="1" applyBorder="1" applyAlignment="1"/>
    <xf numFmtId="197" fontId="139" fillId="14" borderId="25" xfId="2" quotePrefix="1" applyNumberFormat="1" applyFont="1" applyFill="1" applyBorder="1" applyAlignment="1"/>
    <xf numFmtId="0" fontId="13" fillId="0" borderId="0" xfId="0" quotePrefix="1" applyFont="1" applyAlignment="1"/>
    <xf numFmtId="0" fontId="16" fillId="0" borderId="17" xfId="0" applyFont="1" applyBorder="1"/>
    <xf numFmtId="0" fontId="16" fillId="0" borderId="59" xfId="0" applyFont="1" applyBorder="1"/>
    <xf numFmtId="0" fontId="16" fillId="0" borderId="57" xfId="0" applyFont="1" applyBorder="1"/>
    <xf numFmtId="0" fontId="16" fillId="0" borderId="57" xfId="0" applyFont="1" applyBorder="1" applyAlignment="1"/>
    <xf numFmtId="0" fontId="16" fillId="0" borderId="42" xfId="0" applyFont="1" applyBorder="1" applyAlignment="1">
      <alignment horizontal="center"/>
    </xf>
    <xf numFmtId="195" fontId="16" fillId="0" borderId="18" xfId="0" applyNumberFormat="1" applyFont="1" applyFill="1" applyBorder="1" applyAlignment="1">
      <alignment horizontal="center"/>
    </xf>
    <xf numFmtId="195" fontId="16" fillId="0" borderId="41" xfId="0" applyNumberFormat="1" applyFont="1" applyFill="1" applyBorder="1" applyAlignment="1">
      <alignment horizontal="center"/>
    </xf>
    <xf numFmtId="195" fontId="16" fillId="0" borderId="77" xfId="0" applyNumberFormat="1" applyFont="1" applyFill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195" fontId="126" fillId="11" borderId="59" xfId="0" applyNumberFormat="1" applyFont="1" applyFill="1" applyBorder="1" applyAlignment="1">
      <alignment horizontal="center"/>
    </xf>
    <xf numFmtId="195" fontId="126" fillId="11" borderId="57" xfId="0" applyNumberFormat="1" applyFont="1" applyFill="1" applyBorder="1" applyAlignment="1">
      <alignment horizontal="center"/>
    </xf>
    <xf numFmtId="2" fontId="126" fillId="11" borderId="57" xfId="0" applyNumberFormat="1" applyFont="1" applyFill="1" applyBorder="1" applyAlignment="1">
      <alignment horizontal="center"/>
    </xf>
    <xf numFmtId="0" fontId="53" fillId="0" borderId="56" xfId="0" applyFont="1" applyBorder="1" applyAlignment="1"/>
    <xf numFmtId="0" fontId="25" fillId="0" borderId="3" xfId="2" applyNumberFormat="1" applyFont="1" applyBorder="1" applyAlignment="1"/>
    <xf numFmtId="0" fontId="25" fillId="0" borderId="3" xfId="2" quotePrefix="1" applyNumberFormat="1" applyFont="1" applyBorder="1" applyAlignment="1"/>
    <xf numFmtId="0" fontId="14" fillId="0" borderId="0" xfId="2" applyNumberFormat="1" applyFont="1" applyAlignment="1"/>
    <xf numFmtId="0" fontId="96" fillId="0" borderId="11" xfId="2" quotePrefix="1" applyNumberFormat="1" applyFont="1" applyBorder="1" applyAlignment="1"/>
    <xf numFmtId="0" fontId="57" fillId="0" borderId="0" xfId="2" applyNumberFormat="1" applyFont="1" applyAlignment="1"/>
    <xf numFmtId="196" fontId="57" fillId="0" borderId="0" xfId="2" applyFont="1" applyBorder="1"/>
    <xf numFmtId="0" fontId="99" fillId="0" borderId="11" xfId="2" applyNumberFormat="1" applyFont="1" applyBorder="1" applyAlignment="1"/>
    <xf numFmtId="0" fontId="96" fillId="0" borderId="0" xfId="2" applyNumberFormat="1" applyFont="1" applyAlignment="1"/>
    <xf numFmtId="196" fontId="96" fillId="0" borderId="0" xfId="2" applyFont="1" applyBorder="1"/>
    <xf numFmtId="0" fontId="24" fillId="0" borderId="0" xfId="2" applyNumberFormat="1" applyFont="1" applyAlignment="1"/>
    <xf numFmtId="2" fontId="16" fillId="0" borderId="0" xfId="2" applyNumberFormat="1" applyBorder="1"/>
    <xf numFmtId="195" fontId="16" fillId="0" borderId="0" xfId="2" applyNumberFormat="1" applyBorder="1"/>
    <xf numFmtId="0" fontId="16" fillId="0" borderId="5" xfId="0" quotePrefix="1" applyFont="1" applyBorder="1" applyAlignment="1">
      <alignment horizontal="center"/>
    </xf>
    <xf numFmtId="0" fontId="15" fillId="0" borderId="5" xfId="0" applyNumberFormat="1" applyFont="1" applyFill="1" applyBorder="1" applyAlignment="1" applyProtection="1">
      <protection locked="0"/>
    </xf>
    <xf numFmtId="0" fontId="0" fillId="0" borderId="78" xfId="0" applyBorder="1" applyAlignment="1"/>
    <xf numFmtId="2" fontId="0" fillId="0" borderId="15" xfId="0" applyNumberFormat="1" applyBorder="1" applyAlignment="1"/>
    <xf numFmtId="2" fontId="0" fillId="0" borderId="0" xfId="0" applyNumberFormat="1" applyBorder="1"/>
    <xf numFmtId="0" fontId="16" fillId="0" borderId="79" xfId="0" applyFont="1" applyBorder="1" applyAlignment="1">
      <alignment horizontal="center"/>
    </xf>
    <xf numFmtId="0" fontId="16" fillId="0" borderId="80" xfId="0" applyFont="1" applyFill="1" applyBorder="1" applyAlignment="1"/>
    <xf numFmtId="0" fontId="0" fillId="0" borderId="19" xfId="0" applyBorder="1" applyAlignment="1"/>
    <xf numFmtId="0" fontId="15" fillId="0" borderId="29" xfId="0" applyNumberFormat="1" applyFont="1" applyFill="1" applyBorder="1" applyAlignment="1" applyProtection="1">
      <protection locked="0"/>
    </xf>
    <xf numFmtId="0" fontId="16" fillId="0" borderId="23" xfId="0" applyNumberFormat="1" applyFont="1" applyFill="1" applyBorder="1" applyAlignment="1" applyProtection="1">
      <protection locked="0"/>
    </xf>
    <xf numFmtId="0" fontId="15" fillId="0" borderId="23" xfId="0" applyNumberFormat="1" applyFont="1" applyFill="1" applyBorder="1" applyAlignment="1" applyProtection="1">
      <protection locked="0"/>
    </xf>
    <xf numFmtId="0" fontId="16" fillId="0" borderId="40" xfId="0" applyNumberFormat="1" applyFont="1" applyFill="1" applyBorder="1" applyAlignment="1" applyProtection="1">
      <protection locked="0"/>
    </xf>
    <xf numFmtId="2" fontId="15" fillId="0" borderId="30" xfId="0" applyNumberFormat="1" applyFont="1" applyFill="1" applyBorder="1" applyAlignment="1" applyProtection="1">
      <protection locked="0"/>
    </xf>
    <xf numFmtId="2" fontId="16" fillId="0" borderId="14" xfId="0" applyNumberFormat="1" applyFont="1" applyFill="1" applyBorder="1" applyAlignment="1" applyProtection="1">
      <alignment horizontal="center"/>
      <protection locked="0"/>
    </xf>
    <xf numFmtId="2" fontId="16" fillId="0" borderId="37" xfId="0" applyNumberFormat="1" applyFont="1" applyFill="1" applyBorder="1" applyAlignment="1" applyProtection="1">
      <alignment horizontal="center"/>
      <protection locked="0"/>
    </xf>
    <xf numFmtId="0" fontId="15" fillId="0" borderId="40" xfId="0" applyNumberFormat="1" applyFont="1" applyFill="1" applyBorder="1" applyAlignment="1" applyProtection="1">
      <protection locked="0"/>
    </xf>
    <xf numFmtId="0" fontId="15" fillId="0" borderId="81" xfId="0" applyNumberFormat="1" applyFont="1" applyFill="1" applyBorder="1" applyAlignment="1" applyProtection="1">
      <protection locked="0"/>
    </xf>
    <xf numFmtId="0" fontId="15" fillId="0" borderId="27" xfId="0" applyNumberFormat="1" applyFont="1" applyFill="1" applyBorder="1" applyAlignment="1" applyProtection="1">
      <protection locked="0"/>
    </xf>
    <xf numFmtId="0" fontId="16" fillId="0" borderId="3" xfId="0" applyNumberFormat="1" applyFont="1" applyFill="1" applyBorder="1" applyAlignment="1" applyProtection="1">
      <protection locked="0"/>
    </xf>
    <xf numFmtId="204" fontId="0" fillId="0" borderId="59" xfId="0" applyNumberFormat="1" applyBorder="1" applyAlignment="1">
      <alignment horizontal="center"/>
    </xf>
    <xf numFmtId="0" fontId="15" fillId="11" borderId="6" xfId="0" applyNumberFormat="1" applyFont="1" applyFill="1" applyBorder="1" applyAlignment="1" applyProtection="1">
      <protection locked="0"/>
    </xf>
    <xf numFmtId="2" fontId="15" fillId="11" borderId="5" xfId="0" applyNumberFormat="1" applyFont="1" applyFill="1" applyBorder="1" applyAlignment="1" applyProtection="1">
      <protection locked="0"/>
    </xf>
    <xf numFmtId="2" fontId="15" fillId="11" borderId="27" xfId="0" applyNumberFormat="1" applyFont="1" applyFill="1" applyBorder="1" applyAlignment="1" applyProtection="1">
      <protection locked="0"/>
    </xf>
    <xf numFmtId="195" fontId="15" fillId="11" borderId="6" xfId="0" applyNumberFormat="1" applyFont="1" applyFill="1" applyBorder="1" applyAlignment="1" applyProtection="1">
      <protection locked="0"/>
    </xf>
    <xf numFmtId="0" fontId="15" fillId="11" borderId="81" xfId="0" applyNumberFormat="1" applyFont="1" applyFill="1" applyBorder="1" applyAlignment="1" applyProtection="1">
      <protection locked="0"/>
    </xf>
    <xf numFmtId="0" fontId="16" fillId="0" borderId="5" xfId="0" applyNumberFormat="1" applyFont="1" applyFill="1" applyBorder="1" applyAlignment="1" applyProtection="1">
      <protection locked="0"/>
    </xf>
    <xf numFmtId="0" fontId="16" fillId="0" borderId="29" xfId="0" applyNumberFormat="1" applyFont="1" applyFill="1" applyBorder="1" applyAlignment="1" applyProtection="1">
      <protection locked="0"/>
    </xf>
    <xf numFmtId="0" fontId="16" fillId="0" borderId="79" xfId="0" applyNumberFormat="1" applyFont="1" applyFill="1" applyBorder="1" applyAlignment="1" applyProtection="1">
      <protection locked="0"/>
    </xf>
    <xf numFmtId="0" fontId="15" fillId="11" borderId="5" xfId="0" applyNumberFormat="1" applyFont="1" applyFill="1" applyBorder="1" applyAlignment="1" applyProtection="1">
      <protection locked="0"/>
    </xf>
    <xf numFmtId="0" fontId="15" fillId="11" borderId="27" xfId="0" applyNumberFormat="1" applyFont="1" applyFill="1" applyBorder="1" applyAlignment="1" applyProtection="1">
      <protection locked="0"/>
    </xf>
    <xf numFmtId="1" fontId="15" fillId="0" borderId="30" xfId="0" applyNumberFormat="1" applyFont="1" applyFill="1" applyBorder="1" applyAlignment="1" applyProtection="1">
      <protection locked="0"/>
    </xf>
    <xf numFmtId="1" fontId="16" fillId="0" borderId="14" xfId="0" applyNumberFormat="1" applyFont="1" applyFill="1" applyBorder="1" applyAlignment="1" applyProtection="1">
      <protection locked="0"/>
    </xf>
    <xf numFmtId="1" fontId="16" fillId="0" borderId="37" xfId="0" applyNumberFormat="1" applyFont="1" applyFill="1" applyBorder="1" applyAlignment="1" applyProtection="1">
      <alignment horizontal="center"/>
      <protection locked="0"/>
    </xf>
    <xf numFmtId="0" fontId="16" fillId="0" borderId="82" xfId="0" applyFont="1" applyBorder="1" applyAlignment="1"/>
    <xf numFmtId="0" fontId="16" fillId="0" borderId="83" xfId="0" applyFont="1" applyBorder="1" applyAlignment="1">
      <alignment horizontal="center"/>
    </xf>
    <xf numFmtId="0" fontId="0" fillId="0" borderId="84" xfId="0" applyBorder="1" applyAlignment="1"/>
    <xf numFmtId="0" fontId="0" fillId="0" borderId="85" xfId="0" applyBorder="1" applyAlignment="1"/>
    <xf numFmtId="195" fontId="15" fillId="0" borderId="14" xfId="0" applyNumberFormat="1" applyFont="1" applyFill="1" applyBorder="1" applyAlignment="1" applyProtection="1">
      <protection locked="0"/>
    </xf>
    <xf numFmtId="0" fontId="0" fillId="0" borderId="37" xfId="0" applyFill="1" applyBorder="1" applyAlignment="1"/>
    <xf numFmtId="195" fontId="16" fillId="0" borderId="14" xfId="0" applyNumberFormat="1" applyFont="1" applyFill="1" applyBorder="1" applyAlignment="1" applyProtection="1">
      <protection locked="0"/>
    </xf>
    <xf numFmtId="195" fontId="0" fillId="0" borderId="83" xfId="0" applyNumberFormat="1" applyBorder="1" applyAlignment="1"/>
    <xf numFmtId="0" fontId="0" fillId="0" borderId="30" xfId="0" applyBorder="1" applyAlignment="1"/>
    <xf numFmtId="2" fontId="0" fillId="0" borderId="14" xfId="0" applyNumberFormat="1" applyBorder="1" applyAlignment="1"/>
    <xf numFmtId="1" fontId="0" fillId="0" borderId="37" xfId="0" applyNumberFormat="1" applyBorder="1" applyAlignment="1"/>
    <xf numFmtId="1" fontId="0" fillId="0" borderId="14" xfId="0" applyNumberFormat="1" applyBorder="1" applyAlignment="1"/>
    <xf numFmtId="2" fontId="0" fillId="0" borderId="30" xfId="0" applyNumberFormat="1" applyBorder="1" applyAlignment="1"/>
    <xf numFmtId="195" fontId="16" fillId="0" borderId="14" xfId="0" applyNumberFormat="1" applyFont="1" applyFill="1" applyBorder="1" applyAlignment="1" applyProtection="1">
      <alignment horizontal="center"/>
      <protection locked="0"/>
    </xf>
    <xf numFmtId="195" fontId="16" fillId="0" borderId="30" xfId="0" applyNumberFormat="1" applyFont="1" applyFill="1" applyBorder="1" applyAlignment="1" applyProtection="1">
      <alignment horizontal="center"/>
      <protection locked="0"/>
    </xf>
    <xf numFmtId="195" fontId="15" fillId="0" borderId="30" xfId="0" applyNumberFormat="1" applyFont="1" applyFill="1" applyBorder="1" applyAlignment="1" applyProtection="1">
      <protection locked="0"/>
    </xf>
    <xf numFmtId="1" fontId="16" fillId="0" borderId="14" xfId="0" applyNumberFormat="1" applyFont="1" applyBorder="1" applyAlignment="1"/>
    <xf numFmtId="195" fontId="0" fillId="0" borderId="14" xfId="0" applyNumberFormat="1" applyBorder="1" applyAlignment="1"/>
    <xf numFmtId="2" fontId="16" fillId="0" borderId="14" xfId="0" applyNumberFormat="1" applyFont="1" applyBorder="1" applyAlignment="1"/>
    <xf numFmtId="0" fontId="0" fillId="11" borderId="0" xfId="0" applyFill="1" applyBorder="1" applyAlignment="1"/>
    <xf numFmtId="212" fontId="15" fillId="11" borderId="5" xfId="1" applyNumberFormat="1" applyFont="1" applyFill="1" applyBorder="1" applyAlignment="1" applyProtection="1">
      <protection locked="0"/>
    </xf>
    <xf numFmtId="212" fontId="15" fillId="11" borderId="27" xfId="1" applyNumberFormat="1" applyFont="1" applyFill="1" applyBorder="1" applyAlignment="1" applyProtection="1">
      <protection locked="0"/>
    </xf>
    <xf numFmtId="212" fontId="0" fillId="0" borderId="0" xfId="1" applyNumberFormat="1" applyFont="1" applyFill="1" applyBorder="1" applyAlignment="1"/>
    <xf numFmtId="212" fontId="16" fillId="0" borderId="0" xfId="1" applyNumberFormat="1" applyFont="1" applyFill="1" applyBorder="1" applyAlignment="1"/>
    <xf numFmtId="212" fontId="16" fillId="0" borderId="16" xfId="1" applyNumberFormat="1" applyFont="1" applyFill="1" applyBorder="1" applyAlignment="1">
      <alignment horizontal="center"/>
    </xf>
    <xf numFmtId="212" fontId="100" fillId="11" borderId="0" xfId="1" applyNumberFormat="1" applyFont="1" applyFill="1" applyBorder="1" applyAlignment="1"/>
    <xf numFmtId="212" fontId="126" fillId="11" borderId="0" xfId="1" applyNumberFormat="1" applyFont="1" applyFill="1" applyBorder="1" applyAlignment="1"/>
    <xf numFmtId="212" fontId="15" fillId="11" borderId="16" xfId="1" applyNumberFormat="1" applyFont="1" applyFill="1" applyBorder="1" applyAlignment="1" applyProtection="1">
      <protection locked="0"/>
    </xf>
    <xf numFmtId="212" fontId="15" fillId="0" borderId="0" xfId="1" applyNumberFormat="1" applyFont="1" applyFill="1" applyBorder="1" applyAlignment="1" applyProtection="1">
      <protection locked="0"/>
    </xf>
    <xf numFmtId="212" fontId="16" fillId="0" borderId="0" xfId="1" applyNumberFormat="1" applyFont="1" applyBorder="1" applyAlignment="1">
      <alignment horizontal="center"/>
    </xf>
    <xf numFmtId="212" fontId="16" fillId="0" borderId="0" xfId="1" applyNumberFormat="1" applyFont="1" applyBorder="1" applyAlignment="1"/>
    <xf numFmtId="212" fontId="0" fillId="0" borderId="0" xfId="1" applyNumberFormat="1" applyFont="1" applyBorder="1" applyAlignment="1"/>
    <xf numFmtId="212" fontId="16" fillId="0" borderId="0" xfId="1" applyNumberFormat="1" applyFont="1" applyFill="1" applyBorder="1" applyAlignment="1">
      <alignment horizontal="center"/>
    </xf>
    <xf numFmtId="212" fontId="0" fillId="0" borderId="16" xfId="1" applyNumberFormat="1" applyFont="1" applyBorder="1" applyAlignment="1"/>
    <xf numFmtId="212" fontId="16" fillId="11" borderId="17" xfId="1" applyNumberFormat="1" applyFont="1" applyFill="1" applyBorder="1" applyAlignment="1">
      <alignment horizontal="center"/>
    </xf>
    <xf numFmtId="212" fontId="16" fillId="11" borderId="0" xfId="1" applyNumberFormat="1" applyFont="1" applyFill="1" applyBorder="1" applyAlignment="1"/>
    <xf numFmtId="0" fontId="0" fillId="0" borderId="86" xfId="0" applyBorder="1" applyAlignment="1"/>
    <xf numFmtId="0" fontId="11" fillId="0" borderId="40" xfId="0" applyNumberFormat="1" applyFont="1" applyFill="1" applyBorder="1" applyAlignment="1" applyProtection="1">
      <protection locked="0"/>
    </xf>
    <xf numFmtId="0" fontId="15" fillId="0" borderId="83" xfId="0" applyNumberFormat="1" applyFont="1" applyFill="1" applyBorder="1" applyAlignment="1" applyProtection="1">
      <protection locked="0"/>
    </xf>
    <xf numFmtId="2" fontId="15" fillId="0" borderId="40" xfId="0" applyNumberFormat="1" applyFont="1" applyFill="1" applyBorder="1" applyAlignment="1" applyProtection="1">
      <protection locked="0"/>
    </xf>
    <xf numFmtId="0" fontId="16" fillId="0" borderId="5" xfId="0" applyNumberFormat="1" applyFont="1" applyFill="1" applyBorder="1" applyAlignment="1" applyProtection="1">
      <alignment horizontal="center"/>
      <protection locked="0"/>
    </xf>
    <xf numFmtId="1" fontId="16" fillId="0" borderId="14" xfId="0" applyNumberFormat="1" applyFont="1" applyBorder="1" applyAlignment="1">
      <alignment horizontal="center"/>
    </xf>
    <xf numFmtId="0" fontId="15" fillId="0" borderId="27" xfId="0" applyNumberFormat="1" applyFont="1" applyFill="1" applyBorder="1" applyAlignment="1" applyProtection="1">
      <alignment horizontal="center"/>
      <protection locked="0"/>
    </xf>
    <xf numFmtId="1" fontId="16" fillId="0" borderId="37" xfId="0" applyNumberFormat="1" applyFont="1" applyBorder="1" applyAlignment="1"/>
    <xf numFmtId="2" fontId="16" fillId="0" borderId="37" xfId="0" applyNumberFormat="1" applyFont="1" applyBorder="1" applyAlignment="1"/>
    <xf numFmtId="0" fontId="15" fillId="0" borderId="82" xfId="0" applyNumberFormat="1" applyFont="1" applyFill="1" applyBorder="1" applyAlignment="1" applyProtection="1">
      <protection locked="0"/>
    </xf>
    <xf numFmtId="212" fontId="0" fillId="0" borderId="17" xfId="1" applyNumberFormat="1" applyFont="1" applyBorder="1" applyAlignment="1"/>
    <xf numFmtId="195" fontId="15" fillId="0" borderId="78" xfId="0" applyNumberFormat="1" applyFont="1" applyFill="1" applyBorder="1" applyAlignment="1" applyProtection="1">
      <protection locked="0"/>
    </xf>
    <xf numFmtId="1" fontId="15" fillId="0" borderId="81" xfId="0" applyNumberFormat="1" applyFont="1" applyFill="1" applyBorder="1" applyAlignment="1" applyProtection="1">
      <protection locked="0"/>
    </xf>
    <xf numFmtId="0" fontId="15" fillId="11" borderId="5" xfId="0" applyNumberFormat="1" applyFont="1" applyFill="1" applyBorder="1" applyAlignment="1" applyProtection="1">
      <alignment horizontal="center"/>
      <protection locked="0"/>
    </xf>
    <xf numFmtId="212" fontId="15" fillId="11" borderId="3" xfId="1" applyNumberFormat="1" applyFont="1" applyFill="1" applyBorder="1" applyAlignment="1" applyProtection="1">
      <protection locked="0"/>
    </xf>
    <xf numFmtId="212" fontId="0" fillId="0" borderId="23" xfId="1" applyNumberFormat="1" applyFont="1" applyFill="1" applyBorder="1" applyAlignment="1"/>
    <xf numFmtId="212" fontId="16" fillId="11" borderId="0" xfId="1" applyNumberFormat="1" applyFont="1" applyFill="1" applyBorder="1" applyAlignment="1">
      <alignment horizontal="center"/>
    </xf>
    <xf numFmtId="212" fontId="11" fillId="11" borderId="0" xfId="1" applyNumberFormat="1" applyFont="1" applyFill="1" applyBorder="1" applyAlignment="1"/>
    <xf numFmtId="0" fontId="0" fillId="0" borderId="23" xfId="0" applyBorder="1" applyAlignment="1">
      <alignment horizontal="center"/>
    </xf>
    <xf numFmtId="0" fontId="0" fillId="0" borderId="40" xfId="0" applyBorder="1" applyAlignment="1">
      <alignment horizontal="center"/>
    </xf>
    <xf numFmtId="0" fontId="16" fillId="0" borderId="7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5" fillId="11" borderId="1" xfId="0" applyNumberFormat="1" applyFont="1" applyFill="1" applyBorder="1" applyAlignment="1" applyProtection="1">
      <alignment horizontal="center"/>
      <protection locked="0"/>
    </xf>
    <xf numFmtId="1" fontId="15" fillId="11" borderId="3" xfId="0" applyNumberFormat="1" applyFont="1" applyFill="1" applyBorder="1" applyAlignment="1" applyProtection="1">
      <alignment horizontal="center"/>
      <protection locked="0"/>
    </xf>
    <xf numFmtId="1" fontId="15" fillId="11" borderId="81" xfId="0" applyNumberFormat="1" applyFont="1" applyFill="1" applyBorder="1" applyAlignment="1" applyProtection="1">
      <alignment horizontal="center"/>
      <protection locked="0"/>
    </xf>
    <xf numFmtId="1" fontId="15" fillId="0" borderId="30" xfId="0" applyNumberFormat="1" applyFont="1" applyFill="1" applyBorder="1" applyAlignment="1" applyProtection="1">
      <alignment horizontal="center"/>
      <protection locked="0"/>
    </xf>
    <xf numFmtId="1" fontId="16" fillId="0" borderId="14" xfId="0" applyNumberFormat="1" applyFont="1" applyFill="1" applyBorder="1" applyAlignment="1" applyProtection="1">
      <alignment horizontal="center"/>
      <protection locked="0"/>
    </xf>
    <xf numFmtId="0" fontId="15" fillId="11" borderId="3" xfId="0" applyNumberFormat="1" applyFont="1" applyFill="1" applyBorder="1" applyAlignment="1" applyProtection="1">
      <alignment horizontal="center"/>
      <protection locked="0"/>
    </xf>
    <xf numFmtId="0" fontId="16" fillId="11" borderId="29" xfId="0" applyNumberFormat="1" applyFont="1" applyFill="1" applyBorder="1" applyAlignment="1" applyProtection="1">
      <protection locked="0"/>
    </xf>
    <xf numFmtId="0" fontId="16" fillId="11" borderId="23" xfId="0" applyNumberFormat="1" applyFont="1" applyFill="1" applyBorder="1" applyAlignment="1" applyProtection="1">
      <protection locked="0"/>
    </xf>
    <xf numFmtId="0" fontId="15" fillId="11" borderId="40" xfId="0" applyNumberFormat="1" applyFont="1" applyFill="1" applyBorder="1" applyAlignment="1" applyProtection="1">
      <protection locked="0"/>
    </xf>
    <xf numFmtId="212" fontId="0" fillId="0" borderId="16" xfId="1" applyNumberFormat="1" applyFont="1" applyFill="1" applyBorder="1" applyAlignment="1"/>
    <xf numFmtId="212" fontId="16" fillId="0" borderId="0" xfId="1" applyNumberFormat="1" applyFont="1" applyFill="1" applyBorder="1" applyAlignment="1" applyProtection="1">
      <protection locked="0"/>
    </xf>
    <xf numFmtId="212" fontId="16" fillId="11" borderId="17" xfId="1" applyNumberFormat="1" applyFont="1" applyFill="1" applyBorder="1" applyAlignment="1"/>
    <xf numFmtId="212" fontId="100" fillId="11" borderId="16" xfId="1" applyNumberFormat="1" applyFont="1" applyFill="1" applyBorder="1" applyAlignment="1"/>
    <xf numFmtId="212" fontId="16" fillId="0" borderId="3" xfId="1" applyNumberFormat="1" applyFont="1" applyFill="1" applyBorder="1" applyAlignment="1" applyProtection="1">
      <protection locked="0"/>
    </xf>
    <xf numFmtId="212" fontId="16" fillId="0" borderId="3" xfId="1" applyNumberFormat="1" applyFont="1" applyFill="1" applyBorder="1" applyAlignment="1" applyProtection="1">
      <alignment horizontal="center"/>
      <protection locked="0"/>
    </xf>
    <xf numFmtId="212" fontId="15" fillId="0" borderId="81" xfId="1" applyNumberFormat="1" applyFont="1" applyFill="1" applyBorder="1" applyAlignment="1" applyProtection="1">
      <alignment horizontal="center"/>
      <protection locked="0"/>
    </xf>
    <xf numFmtId="212" fontId="15" fillId="11" borderId="3" xfId="1" applyNumberFormat="1" applyFont="1" applyFill="1" applyBorder="1" applyAlignment="1" applyProtection="1">
      <alignment horizontal="center"/>
      <protection locked="0"/>
    </xf>
    <xf numFmtId="2" fontId="16" fillId="0" borderId="14" xfId="0" applyNumberFormat="1" applyFont="1" applyBorder="1" applyAlignment="1">
      <alignment horizontal="center"/>
    </xf>
    <xf numFmtId="212" fontId="60" fillId="0" borderId="0" xfId="1" applyNumberFormat="1" applyFont="1" applyFill="1" applyBorder="1" applyAlignment="1" applyProtection="1">
      <protection locked="0"/>
    </xf>
    <xf numFmtId="212" fontId="26" fillId="6" borderId="1" xfId="1" applyNumberFormat="1" applyFont="1" applyFill="1" applyBorder="1" applyAlignment="1" applyProtection="1">
      <protection locked="0"/>
    </xf>
    <xf numFmtId="212" fontId="60" fillId="0" borderId="0" xfId="1" applyNumberFormat="1" applyFont="1" applyAlignment="1"/>
    <xf numFmtId="212" fontId="72" fillId="0" borderId="0" xfId="1" applyNumberFormat="1" applyFont="1" applyAlignment="1"/>
    <xf numFmtId="212" fontId="27" fillId="0" borderId="0" xfId="1" applyNumberFormat="1" applyFont="1" applyAlignment="1"/>
    <xf numFmtId="212" fontId="33" fillId="0" borderId="0" xfId="1" applyNumberFormat="1" applyFont="1" applyAlignment="1"/>
    <xf numFmtId="212" fontId="73" fillId="0" borderId="0" xfId="1" applyNumberFormat="1" applyFont="1" applyAlignment="1"/>
    <xf numFmtId="212" fontId="75" fillId="0" borderId="0" xfId="1" applyNumberFormat="1" applyFont="1" applyAlignment="1"/>
    <xf numFmtId="212" fontId="78" fillId="0" borderId="0" xfId="1" applyNumberFormat="1" applyFont="1" applyAlignment="1"/>
    <xf numFmtId="212" fontId="17" fillId="0" borderId="0" xfId="1" applyNumberFormat="1" applyFont="1" applyAlignment="1"/>
    <xf numFmtId="212" fontId="76" fillId="0" borderId="0" xfId="1" applyNumberFormat="1" applyFont="1" applyAlignment="1"/>
    <xf numFmtId="212" fontId="16" fillId="0" borderId="0" xfId="1" applyNumberFormat="1" applyAlignment="1"/>
    <xf numFmtId="212" fontId="35" fillId="0" borderId="0" xfId="1" applyNumberFormat="1" applyFont="1" applyAlignment="1"/>
    <xf numFmtId="179" fontId="27" fillId="0" borderId="0" xfId="1" applyFont="1" applyBorder="1" applyAlignment="1"/>
    <xf numFmtId="179" fontId="17" fillId="0" borderId="0" xfId="1" applyFont="1" applyAlignment="1"/>
    <xf numFmtId="179" fontId="27" fillId="0" borderId="0" xfId="1" applyFont="1" applyAlignment="1"/>
    <xf numFmtId="179" fontId="26" fillId="6" borderId="1" xfId="1" applyFont="1" applyFill="1" applyBorder="1" applyAlignment="1" applyProtection="1">
      <protection locked="0"/>
    </xf>
    <xf numFmtId="179" fontId="27" fillId="0" borderId="2" xfId="1" applyFont="1" applyBorder="1" applyAlignment="1"/>
    <xf numFmtId="179" fontId="60" fillId="0" borderId="0" xfId="1" applyFont="1" applyFill="1" applyBorder="1" applyAlignment="1" applyProtection="1">
      <protection locked="0"/>
    </xf>
    <xf numFmtId="179" fontId="62" fillId="0" borderId="0" xfId="1" applyFont="1" applyFill="1" applyBorder="1" applyAlignment="1" applyProtection="1">
      <protection locked="0"/>
    </xf>
    <xf numFmtId="179" fontId="63" fillId="0" borderId="0" xfId="1" applyFont="1" applyBorder="1" applyAlignment="1"/>
    <xf numFmtId="179" fontId="26" fillId="6" borderId="1" xfId="1" quotePrefix="1" applyFont="1" applyFill="1" applyBorder="1" applyAlignment="1" applyProtection="1">
      <alignment horizontal="center"/>
      <protection locked="0"/>
    </xf>
    <xf numFmtId="179" fontId="27" fillId="2" borderId="0" xfId="1" applyFont="1" applyFill="1" applyAlignment="1"/>
    <xf numFmtId="179" fontId="19" fillId="6" borderId="2" xfId="1" applyFont="1" applyFill="1" applyBorder="1" applyAlignment="1"/>
    <xf numFmtId="179" fontId="26" fillId="6" borderId="10" xfId="1" applyFont="1" applyFill="1" applyBorder="1" applyAlignment="1" applyProtection="1">
      <protection locked="0"/>
    </xf>
    <xf numFmtId="179" fontId="140" fillId="0" borderId="7" xfId="1" applyFont="1" applyFill="1" applyBorder="1" applyAlignment="1" applyProtection="1">
      <protection locked="0"/>
    </xf>
    <xf numFmtId="179" fontId="26" fillId="0" borderId="2" xfId="1" applyFont="1" applyFill="1" applyBorder="1" applyAlignment="1" applyProtection="1">
      <protection locked="0"/>
    </xf>
    <xf numFmtId="179" fontId="26" fillId="6" borderId="2" xfId="1" applyFont="1" applyFill="1" applyBorder="1" applyAlignment="1" applyProtection="1">
      <protection locked="0"/>
    </xf>
    <xf numFmtId="179" fontId="27" fillId="0" borderId="0" xfId="1" applyFont="1" applyAlignment="1" applyProtection="1"/>
    <xf numFmtId="179" fontId="67" fillId="0" borderId="0" xfId="1" applyFont="1" applyAlignment="1" applyProtection="1"/>
    <xf numFmtId="179" fontId="16" fillId="0" borderId="0" xfId="1"/>
    <xf numFmtId="179" fontId="26" fillId="6" borderId="1" xfId="1" applyFont="1" applyFill="1" applyBorder="1" applyAlignment="1" applyProtection="1">
      <alignment horizontal="center"/>
      <protection locked="0"/>
    </xf>
    <xf numFmtId="179" fontId="64" fillId="0" borderId="0" xfId="1" applyFont="1" applyBorder="1" applyAlignment="1"/>
    <xf numFmtId="179" fontId="26" fillId="0" borderId="0" xfId="1" applyFont="1" applyFill="1" applyBorder="1" applyAlignment="1" applyProtection="1">
      <protection locked="0"/>
    </xf>
    <xf numFmtId="179" fontId="26" fillId="6" borderId="13" xfId="1" applyFont="1" applyFill="1" applyBorder="1" applyAlignment="1" applyProtection="1">
      <protection locked="0"/>
    </xf>
    <xf numFmtId="179" fontId="16" fillId="0" borderId="0" xfId="1" applyAlignment="1"/>
    <xf numFmtId="179" fontId="26" fillId="0" borderId="0" xfId="1" applyFont="1" applyFill="1" applyBorder="1" applyAlignment="1"/>
    <xf numFmtId="179" fontId="88" fillId="0" borderId="0" xfId="1" applyFont="1" applyAlignment="1"/>
    <xf numFmtId="179" fontId="65" fillId="0" borderId="0" xfId="1" applyFont="1" applyAlignment="1"/>
    <xf numFmtId="179" fontId="72" fillId="0" borderId="12" xfId="1" applyFont="1" applyBorder="1" applyAlignment="1"/>
    <xf numFmtId="214" fontId="27" fillId="0" borderId="0" xfId="1" applyNumberFormat="1" applyFont="1" applyBorder="1" applyAlignment="1"/>
    <xf numFmtId="212" fontId="27" fillId="0" borderId="0" xfId="1" applyNumberFormat="1" applyFont="1" applyBorder="1" applyAlignment="1"/>
    <xf numFmtId="214" fontId="27" fillId="0" borderId="0" xfId="1" applyNumberFormat="1" applyFont="1" applyAlignment="1"/>
    <xf numFmtId="214" fontId="60" fillId="0" borderId="0" xfId="1" applyNumberFormat="1" applyFont="1" applyAlignment="1"/>
    <xf numFmtId="212" fontId="27" fillId="0" borderId="0" xfId="1" applyNumberFormat="1" applyFont="1" applyAlignment="1" applyProtection="1"/>
    <xf numFmtId="212" fontId="26" fillId="5" borderId="13" xfId="1" applyNumberFormat="1" applyFont="1" applyFill="1" applyBorder="1" applyAlignment="1" applyProtection="1"/>
    <xf numFmtId="212" fontId="26" fillId="6" borderId="10" xfId="1" applyNumberFormat="1" applyFont="1" applyFill="1" applyBorder="1" applyAlignment="1" applyProtection="1">
      <protection locked="0"/>
    </xf>
    <xf numFmtId="9" fontId="26" fillId="6" borderId="10" xfId="3" applyFont="1" applyFill="1" applyBorder="1" applyAlignment="1" applyProtection="1">
      <protection locked="0"/>
    </xf>
    <xf numFmtId="212" fontId="66" fillId="5" borderId="13" xfId="1" applyNumberFormat="1" applyFont="1" applyFill="1" applyBorder="1"/>
    <xf numFmtId="212" fontId="26" fillId="5" borderId="13" xfId="1" applyNumberFormat="1" applyFont="1" applyFill="1" applyBorder="1" applyAlignment="1"/>
    <xf numFmtId="212" fontId="141" fillId="10" borderId="7" xfId="1" applyNumberFormat="1" applyFont="1" applyFill="1" applyBorder="1" applyAlignment="1"/>
    <xf numFmtId="212" fontId="141" fillId="0" borderId="0" xfId="1" applyNumberFormat="1" applyFont="1" applyFill="1" applyBorder="1" applyAlignment="1"/>
    <xf numFmtId="212" fontId="142" fillId="13" borderId="7" xfId="1" applyNumberFormat="1" applyFont="1" applyFill="1" applyBorder="1" applyAlignment="1"/>
    <xf numFmtId="212" fontId="143" fillId="14" borderId="7" xfId="1" applyNumberFormat="1" applyFont="1" applyFill="1" applyBorder="1" applyAlignment="1"/>
    <xf numFmtId="212" fontId="19" fillId="6" borderId="2" xfId="1" applyNumberFormat="1" applyFont="1" applyFill="1" applyBorder="1" applyAlignment="1"/>
    <xf numFmtId="212" fontId="88" fillId="0" borderId="0" xfId="1" applyNumberFormat="1" applyFont="1" applyAlignment="1"/>
    <xf numFmtId="212" fontId="65" fillId="0" borderId="0" xfId="1" applyNumberFormat="1" applyFont="1" applyAlignment="1"/>
    <xf numFmtId="218" fontId="26" fillId="6" borderId="1" xfId="1" applyNumberFormat="1" applyFont="1" applyFill="1" applyBorder="1" applyAlignment="1" applyProtection="1">
      <protection locked="0"/>
    </xf>
    <xf numFmtId="9" fontId="26" fillId="5" borderId="13" xfId="3" applyFont="1" applyFill="1" applyBorder="1" applyAlignment="1" applyProtection="1"/>
    <xf numFmtId="196" fontId="144" fillId="9" borderId="0" xfId="2" applyNumberFormat="1" applyFont="1" applyFill="1" applyAlignment="1" applyProtection="1">
      <protection locked="0"/>
    </xf>
    <xf numFmtId="0" fontId="101" fillId="9" borderId="0" xfId="2" applyNumberFormat="1" applyFont="1" applyFill="1" applyAlignment="1" applyProtection="1">
      <protection locked="0"/>
    </xf>
    <xf numFmtId="0" fontId="145" fillId="9" borderId="0" xfId="2" applyNumberFormat="1" applyFont="1" applyFill="1" applyAlignment="1" applyProtection="1">
      <protection locked="0"/>
    </xf>
    <xf numFmtId="0" fontId="0" fillId="9" borderId="0" xfId="0" applyFill="1" applyAlignment="1"/>
    <xf numFmtId="0" fontId="144" fillId="9" borderId="0" xfId="0" applyFont="1" applyFill="1" applyAlignment="1"/>
    <xf numFmtId="0" fontId="144" fillId="9" borderId="0" xfId="0" applyFont="1" applyFill="1" applyAlignment="1">
      <alignment horizontal="center"/>
    </xf>
    <xf numFmtId="0" fontId="144" fillId="9" borderId="0" xfId="2" applyNumberFormat="1" applyFont="1" applyFill="1" applyAlignment="1" applyProtection="1">
      <protection locked="0"/>
    </xf>
    <xf numFmtId="15" fontId="21" fillId="9" borderId="0" xfId="2" applyNumberFormat="1" applyFont="1" applyFill="1" applyAlignment="1">
      <alignment horizontal="left"/>
    </xf>
    <xf numFmtId="0" fontId="0" fillId="3" borderId="0" xfId="0" applyFill="1" applyAlignment="1"/>
    <xf numFmtId="196" fontId="41" fillId="8" borderId="1" xfId="2" applyFont="1" applyFill="1" applyBorder="1" applyAlignment="1" applyProtection="1">
      <alignment horizontal="center"/>
      <protection locked="0"/>
    </xf>
    <xf numFmtId="212" fontId="26" fillId="8" borderId="1" xfId="1" applyNumberFormat="1" applyFont="1" applyFill="1" applyBorder="1" applyAlignment="1" applyProtection="1">
      <protection locked="0"/>
    </xf>
    <xf numFmtId="179" fontId="26" fillId="8" borderId="1" xfId="1" applyNumberFormat="1" applyFont="1" applyFill="1" applyBorder="1" applyAlignment="1" applyProtection="1">
      <protection locked="0"/>
    </xf>
    <xf numFmtId="197" fontId="26" fillId="8" borderId="1" xfId="2" applyNumberFormat="1" applyFont="1" applyFill="1" applyBorder="1" applyAlignment="1" applyProtection="1">
      <protection locked="0"/>
    </xf>
    <xf numFmtId="212" fontId="66" fillId="8" borderId="13" xfId="1" applyNumberFormat="1" applyFont="1" applyFill="1" applyBorder="1"/>
    <xf numFmtId="198" fontId="17" fillId="0" borderId="13" xfId="3" applyNumberFormat="1" applyFont="1" applyBorder="1" applyAlignment="1"/>
    <xf numFmtId="212" fontId="26" fillId="8" borderId="13" xfId="1" applyNumberFormat="1" applyFont="1" applyFill="1" applyBorder="1" applyAlignment="1"/>
    <xf numFmtId="2" fontId="132" fillId="0" borderId="0" xfId="2" applyNumberFormat="1" applyFont="1" applyFill="1" applyBorder="1" applyAlignment="1"/>
    <xf numFmtId="0" fontId="131" fillId="0" borderId="0" xfId="2" applyNumberFormat="1" applyFont="1" applyFill="1" applyBorder="1" applyAlignment="1"/>
    <xf numFmtId="197" fontId="133" fillId="0" borderId="0" xfId="2" quotePrefix="1" applyNumberFormat="1" applyFont="1" applyFill="1" applyBorder="1" applyAlignment="1"/>
    <xf numFmtId="2" fontId="138" fillId="0" borderId="0" xfId="2" applyNumberFormat="1" applyFont="1" applyFill="1" applyBorder="1" applyAlignment="1"/>
    <xf numFmtId="0" fontId="137" fillId="0" borderId="0" xfId="2" applyNumberFormat="1" applyFont="1" applyFill="1" applyBorder="1" applyAlignment="1"/>
    <xf numFmtId="197" fontId="139" fillId="0" borderId="0" xfId="2" quotePrefix="1" applyNumberFormat="1" applyFont="1" applyFill="1" applyBorder="1" applyAlignment="1"/>
    <xf numFmtId="196" fontId="130" fillId="13" borderId="25" xfId="2" applyFont="1" applyFill="1" applyBorder="1" applyAlignment="1"/>
    <xf numFmtId="196" fontId="118" fillId="0" borderId="11" xfId="2" applyFont="1" applyFill="1" applyBorder="1" applyAlignment="1"/>
    <xf numFmtId="196" fontId="136" fillId="14" borderId="25" xfId="2" applyFont="1" applyFill="1" applyBorder="1" applyAlignment="1"/>
    <xf numFmtId="2" fontId="118" fillId="0" borderId="0" xfId="2" applyNumberFormat="1" applyFont="1" applyFill="1" applyBorder="1" applyAlignment="1"/>
    <xf numFmtId="196" fontId="123" fillId="0" borderId="0" xfId="2" applyFont="1" applyFill="1" applyBorder="1" applyAlignment="1"/>
    <xf numFmtId="1" fontId="115" fillId="0" borderId="0" xfId="2" applyNumberFormat="1" applyFont="1" applyFill="1" applyBorder="1" applyAlignment="1"/>
    <xf numFmtId="196" fontId="121" fillId="0" borderId="0" xfId="2" applyFont="1" applyFill="1" applyBorder="1" applyAlignment="1"/>
    <xf numFmtId="2" fontId="115" fillId="0" borderId="0" xfId="2" applyNumberFormat="1" applyFont="1" applyFill="1" applyBorder="1" applyAlignment="1"/>
    <xf numFmtId="196" fontId="122" fillId="0" borderId="0" xfId="2" applyFont="1" applyFill="1" applyBorder="1" applyAlignment="1"/>
    <xf numFmtId="197" fontId="115" fillId="0" borderId="0" xfId="2" applyNumberFormat="1" applyFont="1" applyFill="1" applyBorder="1" applyAlignment="1"/>
    <xf numFmtId="196" fontId="121" fillId="0" borderId="4" xfId="2" applyFont="1" applyFill="1" applyBorder="1" applyAlignment="1"/>
    <xf numFmtId="196" fontId="121" fillId="0" borderId="11" xfId="2" applyFont="1" applyFill="1" applyBorder="1" applyAlignment="1"/>
    <xf numFmtId="2" fontId="16" fillId="9" borderId="0" xfId="2" applyNumberFormat="1" applyFont="1" applyFill="1" applyAlignment="1"/>
    <xf numFmtId="0" fontId="16" fillId="9" borderId="0" xfId="2" applyNumberFormat="1" applyFont="1" applyFill="1" applyBorder="1" applyAlignment="1"/>
    <xf numFmtId="0" fontId="0" fillId="9" borderId="0" xfId="0" applyFill="1" applyBorder="1" applyAlignment="1"/>
    <xf numFmtId="196" fontId="16" fillId="9" borderId="0" xfId="2" applyFill="1" applyBorder="1"/>
    <xf numFmtId="196" fontId="16" fillId="9" borderId="12" xfId="2" applyFill="1" applyBorder="1"/>
    <xf numFmtId="0" fontId="0" fillId="9" borderId="15" xfId="0" applyFill="1" applyBorder="1" applyAlignment="1"/>
    <xf numFmtId="0" fontId="0" fillId="9" borderId="19" xfId="0" applyFill="1" applyBorder="1" applyAlignment="1"/>
    <xf numFmtId="212" fontId="72" fillId="0" borderId="12" xfId="1" applyNumberFormat="1" applyFont="1" applyBorder="1" applyAlignment="1"/>
    <xf numFmtId="212" fontId="19" fillId="8" borderId="2" xfId="1" applyNumberFormat="1" applyFont="1" applyFill="1" applyBorder="1" applyAlignment="1"/>
    <xf numFmtId="212" fontId="26" fillId="0" borderId="0" xfId="1" applyNumberFormat="1" applyFont="1" applyFill="1" applyBorder="1" applyAlignment="1"/>
    <xf numFmtId="212" fontId="88" fillId="0" borderId="0" xfId="1" applyNumberFormat="1" applyFont="1" applyFill="1" applyBorder="1" applyAlignment="1"/>
    <xf numFmtId="1" fontId="25" fillId="0" borderId="0" xfId="2" applyNumberFormat="1" applyFont="1" applyAlignment="1"/>
    <xf numFmtId="0" fontId="102" fillId="0" borderId="0" xfId="2" applyNumberFormat="1" applyFont="1" applyAlignment="1"/>
    <xf numFmtId="2" fontId="102" fillId="0" borderId="0" xfId="2" applyNumberFormat="1" applyFont="1" applyAlignment="1"/>
    <xf numFmtId="196" fontId="25" fillId="0" borderId="0" xfId="2" applyNumberFormat="1" applyFont="1" applyAlignment="1"/>
    <xf numFmtId="0" fontId="52" fillId="0" borderId="0" xfId="2" applyNumberFormat="1" applyFont="1" applyAlignment="1"/>
    <xf numFmtId="0" fontId="97" fillId="0" borderId="0" xfId="2" applyNumberFormat="1" applyFont="1" applyAlignment="1"/>
    <xf numFmtId="0" fontId="103" fillId="0" borderId="0" xfId="2" applyNumberFormat="1" applyFont="1" applyAlignment="1"/>
    <xf numFmtId="196" fontId="52" fillId="0" borderId="0" xfId="2" applyFont="1"/>
    <xf numFmtId="196" fontId="52" fillId="0" borderId="0" xfId="2" applyFont="1" applyAlignment="1"/>
    <xf numFmtId="0" fontId="104" fillId="0" borderId="0" xfId="2" applyNumberFormat="1" applyFont="1" applyAlignment="1"/>
    <xf numFmtId="0" fontId="97" fillId="6" borderId="2" xfId="2" applyNumberFormat="1" applyFont="1" applyFill="1" applyBorder="1" applyAlignment="1"/>
    <xf numFmtId="196" fontId="97" fillId="0" borderId="0" xfId="2" applyFont="1"/>
    <xf numFmtId="196" fontId="97" fillId="0" borderId="0" xfId="2" applyFont="1" applyAlignment="1"/>
    <xf numFmtId="0" fontId="52" fillId="8" borderId="2" xfId="2" applyNumberFormat="1" applyFont="1" applyFill="1" applyBorder="1" applyAlignment="1"/>
    <xf numFmtId="1" fontId="62" fillId="0" borderId="0" xfId="2" applyNumberFormat="1" applyFont="1" applyFill="1" applyBorder="1" applyAlignment="1" applyProtection="1">
      <protection locked="0"/>
    </xf>
    <xf numFmtId="212" fontId="27" fillId="2" borderId="0" xfId="1" applyNumberFormat="1" applyFont="1" applyFill="1" applyAlignment="1"/>
    <xf numFmtId="212" fontId="27" fillId="0" borderId="2" xfId="1" applyNumberFormat="1" applyFont="1" applyBorder="1" applyAlignment="1"/>
    <xf numFmtId="221" fontId="60" fillId="0" borderId="0" xfId="1" applyNumberFormat="1" applyFont="1" applyAlignment="1"/>
    <xf numFmtId="196" fontId="25" fillId="4" borderId="3" xfId="2" quotePrefix="1" applyNumberFormat="1" applyFont="1" applyFill="1" applyBorder="1" applyAlignment="1"/>
    <xf numFmtId="212" fontId="16" fillId="0" borderId="12" xfId="1" applyNumberFormat="1" applyBorder="1" applyAlignment="1"/>
    <xf numFmtId="212" fontId="31" fillId="0" borderId="0" xfId="1" applyNumberFormat="1" applyFont="1" applyAlignment="1"/>
    <xf numFmtId="212" fontId="32" fillId="0" borderId="0" xfId="1" applyNumberFormat="1" applyFont="1" applyAlignment="1"/>
    <xf numFmtId="212" fontId="60" fillId="0" borderId="0" xfId="1" applyNumberFormat="1" applyFont="1" applyFill="1" applyBorder="1" applyAlignment="1"/>
    <xf numFmtId="196" fontId="16" fillId="0" borderId="0" xfId="2" applyBorder="1" applyAlignment="1"/>
    <xf numFmtId="196" fontId="72" fillId="0" borderId="0" xfId="2" applyFont="1" applyBorder="1" applyAlignment="1"/>
    <xf numFmtId="212" fontId="16" fillId="0" borderId="0" xfId="1" applyNumberFormat="1" applyBorder="1" applyAlignment="1"/>
    <xf numFmtId="179" fontId="141" fillId="10" borderId="7" xfId="1" applyNumberFormat="1" applyFont="1" applyFill="1" applyBorder="1" applyAlignment="1"/>
    <xf numFmtId="218" fontId="141" fillId="10" borderId="7" xfId="1" applyNumberFormat="1" applyFont="1" applyFill="1" applyBorder="1" applyAlignment="1"/>
    <xf numFmtId="179" fontId="142" fillId="13" borderId="7" xfId="1" applyNumberFormat="1" applyFont="1" applyFill="1" applyBorder="1" applyAlignment="1"/>
    <xf numFmtId="218" fontId="142" fillId="13" borderId="7" xfId="1" applyNumberFormat="1" applyFont="1" applyFill="1" applyBorder="1" applyAlignment="1"/>
    <xf numFmtId="218" fontId="143" fillId="14" borderId="7" xfId="1" applyNumberFormat="1" applyFont="1" applyFill="1" applyBorder="1" applyAlignment="1"/>
    <xf numFmtId="196" fontId="16" fillId="0" borderId="25" xfId="2" applyBorder="1"/>
    <xf numFmtId="0" fontId="0" fillId="0" borderId="18" xfId="0" applyBorder="1" applyAlignment="1"/>
    <xf numFmtId="0" fontId="0" fillId="0" borderId="15" xfId="0" applyBorder="1" applyAlignment="1"/>
    <xf numFmtId="0" fontId="0" fillId="0" borderId="87" xfId="0" applyBorder="1" applyAlignment="1"/>
    <xf numFmtId="0" fontId="0" fillId="0" borderId="88" xfId="0" applyBorder="1" applyAlignment="1"/>
    <xf numFmtId="0" fontId="16" fillId="0" borderId="77" xfId="0" applyFont="1" applyBorder="1" applyAlignment="1"/>
    <xf numFmtId="0" fontId="0" fillId="0" borderId="89" xfId="0" applyBorder="1" applyAlignment="1"/>
    <xf numFmtId="0" fontId="0" fillId="0" borderId="90" xfId="0" applyBorder="1" applyAlignment="1"/>
    <xf numFmtId="0" fontId="0" fillId="0" borderId="33" xfId="0" applyBorder="1" applyAlignment="1"/>
    <xf numFmtId="0" fontId="0" fillId="0" borderId="34" xfId="0" applyBorder="1" applyAlignment="1"/>
    <xf numFmtId="1" fontId="0" fillId="0" borderId="91" xfId="0" applyNumberFormat="1" applyBorder="1" applyAlignment="1"/>
    <xf numFmtId="0" fontId="0" fillId="0" borderId="35" xfId="0" applyBorder="1" applyAlignment="1"/>
    <xf numFmtId="1" fontId="0" fillId="0" borderId="92" xfId="0" applyNumberFormat="1" applyBorder="1" applyAlignment="1"/>
    <xf numFmtId="0" fontId="0" fillId="15" borderId="44" xfId="0" applyFill="1" applyBorder="1" applyAlignment="1"/>
    <xf numFmtId="0" fontId="126" fillId="11" borderId="13" xfId="0" applyFont="1" applyFill="1" applyBorder="1" applyAlignment="1"/>
    <xf numFmtId="0" fontId="0" fillId="14" borderId="30" xfId="0" applyFill="1" applyBorder="1" applyAlignment="1"/>
    <xf numFmtId="2" fontId="11" fillId="14" borderId="37" xfId="0" applyNumberFormat="1" applyFont="1" applyFill="1" applyBorder="1" applyAlignment="1"/>
    <xf numFmtId="195" fontId="0" fillId="14" borderId="44" xfId="0" applyNumberFormat="1" applyFont="1" applyFill="1" applyBorder="1" applyAlignment="1">
      <alignment horizontal="center"/>
    </xf>
    <xf numFmtId="204" fontId="0" fillId="14" borderId="44" xfId="0" applyNumberFormat="1" applyFont="1" applyFill="1" applyBorder="1" applyAlignment="1"/>
    <xf numFmtId="3" fontId="0" fillId="14" borderId="19" xfId="0" applyNumberFormat="1" applyFill="1" applyBorder="1" applyAlignment="1">
      <alignment horizontal="center"/>
    </xf>
    <xf numFmtId="205" fontId="16" fillId="14" borderId="93" xfId="0" applyNumberFormat="1" applyFont="1" applyFill="1" applyBorder="1" applyAlignment="1"/>
    <xf numFmtId="205" fontId="126" fillId="14" borderId="48" xfId="0" applyNumberFormat="1" applyFont="1" applyFill="1" applyBorder="1" applyAlignment="1"/>
    <xf numFmtId="197" fontId="126" fillId="14" borderId="50" xfId="0" applyNumberFormat="1" applyFont="1" applyFill="1" applyBorder="1" applyAlignment="1" applyProtection="1">
      <protection locked="0"/>
    </xf>
    <xf numFmtId="2" fontId="16" fillId="14" borderId="45" xfId="0" applyNumberFormat="1" applyFont="1" applyFill="1" applyBorder="1" applyAlignment="1" applyProtection="1">
      <protection locked="0"/>
    </xf>
    <xf numFmtId="2" fontId="16" fillId="14" borderId="39" xfId="0" applyNumberFormat="1" applyFont="1" applyFill="1" applyBorder="1" applyAlignment="1" applyProtection="1">
      <protection locked="0"/>
    </xf>
    <xf numFmtId="2" fontId="15" fillId="14" borderId="46" xfId="0" applyNumberFormat="1" applyFont="1" applyFill="1" applyBorder="1" applyAlignment="1" applyProtection="1">
      <protection locked="0"/>
    </xf>
    <xf numFmtId="2" fontId="15" fillId="14" borderId="52" xfId="0" applyNumberFormat="1" applyFont="1" applyFill="1" applyBorder="1" applyAlignment="1" applyProtection="1">
      <protection locked="0"/>
    </xf>
    <xf numFmtId="218" fontId="16" fillId="0" borderId="0" xfId="1" applyNumberFormat="1"/>
    <xf numFmtId="218" fontId="0" fillId="0" borderId="0" xfId="0" applyNumberFormat="1" applyAlignment="1"/>
    <xf numFmtId="218" fontId="16" fillId="0" borderId="0" xfId="1" applyNumberFormat="1" applyAlignment="1"/>
    <xf numFmtId="0" fontId="106" fillId="10" borderId="94" xfId="0" applyNumberFormat="1" applyFont="1" applyFill="1" applyBorder="1" applyAlignment="1"/>
    <xf numFmtId="0" fontId="107" fillId="10" borderId="95" xfId="0" applyNumberFormat="1" applyFont="1" applyFill="1" applyBorder="1" applyAlignment="1"/>
    <xf numFmtId="0" fontId="1" fillId="10" borderId="96" xfId="0" applyNumberFormat="1" applyFont="1" applyFill="1" applyBorder="1" applyAlignment="1"/>
    <xf numFmtId="0" fontId="0" fillId="10" borderId="97" xfId="0" applyFont="1" applyFill="1" applyBorder="1" applyAlignment="1"/>
    <xf numFmtId="0" fontId="0" fillId="10" borderId="0" xfId="0" applyFont="1" applyFill="1" applyBorder="1" applyAlignment="1"/>
    <xf numFmtId="0" fontId="0" fillId="10" borderId="98" xfId="0" applyFont="1" applyFill="1" applyBorder="1" applyAlignment="1"/>
    <xf numFmtId="0" fontId="2" fillId="7" borderId="97" xfId="0" applyFont="1" applyFill="1" applyBorder="1" applyAlignment="1"/>
    <xf numFmtId="0" fontId="108" fillId="7" borderId="0" xfId="0" applyFont="1" applyFill="1" applyBorder="1" applyAlignment="1"/>
    <xf numFmtId="0" fontId="109" fillId="7" borderId="0" xfId="0" applyFont="1" applyFill="1" applyBorder="1" applyAlignment="1"/>
    <xf numFmtId="0" fontId="0" fillId="7" borderId="0" xfId="0" applyFont="1" applyFill="1" applyBorder="1" applyAlignment="1"/>
    <xf numFmtId="0" fontId="110" fillId="7" borderId="98" xfId="0" applyFont="1" applyFill="1" applyBorder="1" applyAlignment="1"/>
    <xf numFmtId="0" fontId="0" fillId="10" borderId="97" xfId="0" applyFont="1" applyFill="1" applyBorder="1" applyAlignment="1" applyProtection="1">
      <protection hidden="1"/>
    </xf>
    <xf numFmtId="0" fontId="0" fillId="10" borderId="0" xfId="0" applyFont="1" applyFill="1" applyBorder="1" applyAlignment="1" applyProtection="1">
      <protection hidden="1"/>
    </xf>
    <xf numFmtId="0" fontId="16" fillId="10" borderId="97" xfId="0" applyFont="1" applyFill="1" applyBorder="1" applyAlignment="1"/>
    <xf numFmtId="0" fontId="57" fillId="10" borderId="0" xfId="0" applyFont="1" applyFill="1" applyBorder="1" applyAlignment="1"/>
    <xf numFmtId="0" fontId="111" fillId="10" borderId="0" xfId="0" applyFont="1" applyFill="1" applyBorder="1" applyAlignment="1" applyProtection="1">
      <protection hidden="1"/>
    </xf>
    <xf numFmtId="0" fontId="0" fillId="10" borderId="0" xfId="0" applyFill="1" applyBorder="1" applyAlignment="1"/>
    <xf numFmtId="0" fontId="0" fillId="16" borderId="0" xfId="0" applyFont="1" applyFill="1" applyBorder="1" applyAlignment="1" applyProtection="1">
      <protection hidden="1"/>
    </xf>
    <xf numFmtId="0" fontId="146" fillId="16" borderId="0" xfId="0" quotePrefix="1" applyFont="1" applyFill="1" applyBorder="1" applyAlignment="1" applyProtection="1">
      <alignment horizontal="center"/>
      <protection hidden="1"/>
    </xf>
    <xf numFmtId="0" fontId="0" fillId="6" borderId="0" xfId="0" applyFont="1" applyFill="1" applyBorder="1" applyAlignment="1" applyProtection="1">
      <protection hidden="1"/>
    </xf>
    <xf numFmtId="0" fontId="16" fillId="6" borderId="0" xfId="0" quotePrefix="1" applyFont="1" applyFill="1" applyBorder="1" applyAlignment="1" applyProtection="1">
      <alignment horizontal="left"/>
      <protection hidden="1"/>
    </xf>
    <xf numFmtId="0" fontId="147" fillId="6" borderId="0" xfId="0" applyFont="1" applyFill="1" applyBorder="1" applyAlignment="1" applyProtection="1">
      <protection hidden="1"/>
    </xf>
    <xf numFmtId="0" fontId="0" fillId="6" borderId="0" xfId="0" applyFill="1" applyBorder="1" applyAlignment="1"/>
    <xf numFmtId="0" fontId="0" fillId="17" borderId="0" xfId="0" applyFont="1" applyFill="1" applyBorder="1" applyAlignment="1" applyProtection="1">
      <protection hidden="1"/>
    </xf>
    <xf numFmtId="0" fontId="146" fillId="17" borderId="0" xfId="0" quotePrefix="1" applyFont="1" applyFill="1" applyBorder="1" applyAlignment="1" applyProtection="1">
      <alignment horizontal="center"/>
      <protection hidden="1"/>
    </xf>
    <xf numFmtId="0" fontId="0" fillId="18" borderId="0" xfId="0" applyFont="1" applyFill="1" applyBorder="1" applyAlignment="1" applyProtection="1">
      <protection hidden="1"/>
    </xf>
    <xf numFmtId="0" fontId="0" fillId="10" borderId="97" xfId="0" applyFill="1" applyBorder="1" applyAlignment="1"/>
    <xf numFmtId="0" fontId="146" fillId="18" borderId="0" xfId="0" quotePrefix="1" applyFont="1" applyFill="1" applyBorder="1" applyAlignment="1" applyProtection="1">
      <alignment horizontal="center"/>
      <protection hidden="1"/>
    </xf>
    <xf numFmtId="0" fontId="0" fillId="10" borderId="98" xfId="0" applyFill="1" applyBorder="1" applyAlignment="1"/>
    <xf numFmtId="0" fontId="0" fillId="10" borderId="99" xfId="0" applyFill="1" applyBorder="1" applyAlignment="1"/>
    <xf numFmtId="0" fontId="0" fillId="10" borderId="100" xfId="0" applyFill="1" applyBorder="1" applyAlignment="1"/>
    <xf numFmtId="0" fontId="0" fillId="10" borderId="101" xfId="0" applyFill="1" applyBorder="1" applyAlignment="1"/>
    <xf numFmtId="0" fontId="126" fillId="11" borderId="46" xfId="0" applyFont="1" applyFill="1" applyBorder="1" applyAlignment="1"/>
    <xf numFmtId="0" fontId="126" fillId="11" borderId="52" xfId="0" applyFont="1" applyFill="1" applyBorder="1" applyAlignment="1"/>
    <xf numFmtId="0" fontId="13" fillId="0" borderId="0" xfId="0" applyNumberFormat="1" applyFont="1" applyFill="1" applyAlignment="1"/>
    <xf numFmtId="0" fontId="12" fillId="0" borderId="0" xfId="0" applyFont="1" applyFill="1" applyAlignment="1"/>
    <xf numFmtId="2" fontId="16" fillId="14" borderId="46" xfId="0" applyNumberFormat="1" applyFont="1" applyFill="1" applyBorder="1" applyAlignment="1" applyProtection="1">
      <protection locked="0"/>
    </xf>
    <xf numFmtId="0" fontId="0" fillId="0" borderId="0" xfId="0" applyFont="1" applyBorder="1" applyAlignment="1">
      <alignment horizontal="right"/>
    </xf>
    <xf numFmtId="1" fontId="0" fillId="0" borderId="45" xfId="1" applyNumberFormat="1" applyFont="1" applyBorder="1" applyAlignment="1">
      <alignment horizontal="center"/>
    </xf>
    <xf numFmtId="1" fontId="16" fillId="0" borderId="46" xfId="1" quotePrefix="1" applyNumberFormat="1" applyFont="1" applyBorder="1" applyAlignment="1">
      <alignment horizontal="center"/>
    </xf>
    <xf numFmtId="1" fontId="0" fillId="0" borderId="46" xfId="1" applyNumberFormat="1" applyFont="1" applyBorder="1" applyAlignment="1">
      <alignment horizontal="center"/>
    </xf>
    <xf numFmtId="1" fontId="0" fillId="0" borderId="52" xfId="1" applyNumberFormat="1" applyFont="1" applyBorder="1" applyAlignment="1">
      <alignment horizontal="center"/>
    </xf>
    <xf numFmtId="1" fontId="16" fillId="0" borderId="46" xfId="0" quotePrefix="1" applyNumberFormat="1" applyFont="1" applyBorder="1" applyAlignment="1">
      <alignment horizontal="center"/>
    </xf>
    <xf numFmtId="0" fontId="16" fillId="0" borderId="3" xfId="0" applyNumberFormat="1" applyFont="1" applyBorder="1" applyAlignment="1"/>
    <xf numFmtId="0" fontId="0" fillId="6" borderId="0" xfId="0" applyFont="1" applyFill="1" applyBorder="1" applyAlignment="1" applyProtection="1">
      <protection hidden="1"/>
    </xf>
    <xf numFmtId="0" fontId="19" fillId="6" borderId="1" xfId="2" applyNumberFormat="1" applyFont="1" applyFill="1" applyBorder="1" applyAlignment="1"/>
    <xf numFmtId="0" fontId="2" fillId="6" borderId="2" xfId="2" applyNumberFormat="1" applyFont="1" applyFill="1" applyBorder="1" applyAlignment="1"/>
    <xf numFmtId="196" fontId="19" fillId="6" borderId="2" xfId="2" applyNumberFormat="1" applyFont="1" applyFill="1" applyBorder="1" applyAlignment="1"/>
    <xf numFmtId="196" fontId="16" fillId="6" borderId="2" xfId="2" applyNumberFormat="1" applyFont="1" applyFill="1" applyBorder="1" applyAlignment="1"/>
    <xf numFmtId="0" fontId="16" fillId="6" borderId="2" xfId="2" applyNumberFormat="1" applyFont="1" applyFill="1" applyBorder="1" applyAlignment="1"/>
    <xf numFmtId="196" fontId="16" fillId="6" borderId="24" xfId="2" applyFill="1" applyBorder="1"/>
    <xf numFmtId="1" fontId="41" fillId="6" borderId="1" xfId="2" applyNumberFormat="1" applyFont="1" applyFill="1" applyBorder="1" applyAlignment="1" applyProtection="1">
      <protection locked="0"/>
    </xf>
    <xf numFmtId="196" fontId="41" fillId="6" borderId="1" xfId="2" applyFont="1" applyFill="1" applyBorder="1" applyAlignment="1" applyProtection="1">
      <alignment horizontal="center"/>
      <protection locked="0"/>
    </xf>
    <xf numFmtId="1" fontId="41" fillId="6" borderId="10" xfId="2" applyNumberFormat="1" applyFont="1" applyFill="1" applyBorder="1" applyAlignment="1" applyProtection="1">
      <protection locked="0"/>
    </xf>
    <xf numFmtId="1" fontId="26" fillId="6" borderId="13" xfId="2" applyNumberFormat="1" applyFont="1" applyFill="1" applyBorder="1" applyAlignment="1"/>
    <xf numFmtId="198" fontId="26" fillId="6" borderId="13" xfId="2" applyNumberFormat="1" applyFont="1" applyFill="1" applyBorder="1" applyAlignment="1"/>
    <xf numFmtId="212" fontId="26" fillId="6" borderId="1" xfId="1" applyNumberFormat="1" applyFont="1" applyFill="1" applyBorder="1" applyAlignment="1" applyProtection="1">
      <protection locked="0"/>
    </xf>
    <xf numFmtId="196" fontId="26" fillId="6" borderId="1" xfId="2" applyFont="1" applyFill="1" applyBorder="1" applyAlignment="1" applyProtection="1">
      <protection locked="0"/>
    </xf>
    <xf numFmtId="1" fontId="26" fillId="6" borderId="1" xfId="2" applyNumberFormat="1" applyFont="1" applyFill="1" applyBorder="1" applyAlignment="1" applyProtection="1">
      <protection locked="0"/>
    </xf>
    <xf numFmtId="198" fontId="26" fillId="6" borderId="10" xfId="2" applyNumberFormat="1" applyFont="1" applyFill="1" applyBorder="1" applyAlignment="1" applyProtection="1">
      <protection locked="0"/>
    </xf>
    <xf numFmtId="212" fontId="26" fillId="6" borderId="10" xfId="1" applyNumberFormat="1" applyFont="1" applyFill="1" applyBorder="1" applyAlignment="1" applyProtection="1">
      <protection locked="0"/>
    </xf>
    <xf numFmtId="9" fontId="26" fillId="6" borderId="13" xfId="2" applyNumberFormat="1" applyFont="1" applyFill="1" applyBorder="1" applyAlignment="1"/>
    <xf numFmtId="179" fontId="26" fillId="6" borderId="1" xfId="1" applyFont="1" applyFill="1" applyBorder="1" applyAlignment="1" applyProtection="1">
      <protection locked="0"/>
    </xf>
    <xf numFmtId="1" fontId="26" fillId="6" borderId="13" xfId="2" applyNumberFormat="1" applyFont="1" applyFill="1" applyBorder="1" applyAlignment="1" applyProtection="1"/>
    <xf numFmtId="198" fontId="26" fillId="6" borderId="13" xfId="2" applyNumberFormat="1" applyFont="1" applyFill="1" applyBorder="1" applyAlignment="1" applyProtection="1"/>
    <xf numFmtId="1" fontId="148" fillId="0" borderId="0" xfId="2" applyNumberFormat="1" applyFont="1" applyAlignment="1" applyProtection="1"/>
    <xf numFmtId="2" fontId="26" fillId="6" borderId="13" xfId="2" applyNumberFormat="1" applyFont="1" applyFill="1" applyBorder="1" applyAlignment="1"/>
    <xf numFmtId="2" fontId="26" fillId="6" borderId="1" xfId="2" applyNumberFormat="1" applyFont="1" applyFill="1" applyBorder="1" applyAlignment="1" applyProtection="1">
      <protection locked="0"/>
    </xf>
    <xf numFmtId="197" fontId="26" fillId="6" borderId="1" xfId="2" applyNumberFormat="1" applyFont="1" applyFill="1" applyBorder="1" applyAlignment="1" applyProtection="1">
      <protection locked="0"/>
    </xf>
    <xf numFmtId="1" fontId="26" fillId="6" borderId="10" xfId="2" applyNumberFormat="1" applyFont="1" applyFill="1" applyBorder="1" applyAlignment="1" applyProtection="1">
      <protection locked="0"/>
    </xf>
    <xf numFmtId="212" fontId="66" fillId="6" borderId="13" xfId="1" applyNumberFormat="1" applyFont="1" applyFill="1" applyBorder="1"/>
    <xf numFmtId="0" fontId="26" fillId="6" borderId="13" xfId="2" applyNumberFormat="1" applyFont="1" applyFill="1" applyBorder="1" applyAlignment="1"/>
    <xf numFmtId="212" fontId="26" fillId="6" borderId="13" xfId="1" applyNumberFormat="1" applyFont="1" applyFill="1" applyBorder="1" applyAlignment="1"/>
    <xf numFmtId="196" fontId="26" fillId="6" borderId="10" xfId="2" applyFont="1" applyFill="1" applyBorder="1" applyAlignment="1" applyProtection="1">
      <protection locked="0"/>
    </xf>
    <xf numFmtId="3" fontId="26" fillId="6" borderId="1" xfId="2" applyNumberFormat="1" applyFont="1" applyFill="1" applyBorder="1" applyAlignment="1" applyProtection="1">
      <protection locked="0"/>
    </xf>
    <xf numFmtId="212" fontId="16" fillId="6" borderId="2" xfId="1" applyNumberFormat="1" applyFont="1" applyFill="1" applyBorder="1" applyAlignment="1"/>
    <xf numFmtId="0" fontId="16" fillId="10" borderId="3" xfId="2" applyNumberFormat="1" applyFont="1" applyFill="1" applyBorder="1" applyAlignment="1"/>
    <xf numFmtId="0" fontId="16" fillId="10" borderId="0" xfId="2" applyNumberFormat="1" applyFont="1" applyFill="1" applyAlignment="1"/>
    <xf numFmtId="196" fontId="16" fillId="10" borderId="15" xfId="2" applyFill="1" applyBorder="1"/>
    <xf numFmtId="0" fontId="20" fillId="10" borderId="3" xfId="2" applyNumberFormat="1" applyFont="1" applyFill="1" applyBorder="1" applyAlignment="1"/>
    <xf numFmtId="0" fontId="20" fillId="10" borderId="0" xfId="2" applyNumberFormat="1" applyFont="1" applyFill="1" applyAlignment="1"/>
    <xf numFmtId="196" fontId="20" fillId="10" borderId="0" xfId="2" applyNumberFormat="1" applyFont="1" applyFill="1" applyAlignment="1"/>
    <xf numFmtId="196" fontId="16" fillId="10" borderId="0" xfId="2" applyNumberFormat="1" applyFont="1" applyFill="1" applyAlignment="1"/>
    <xf numFmtId="196" fontId="5" fillId="10" borderId="0" xfId="2" applyNumberFormat="1" applyFont="1" applyFill="1" applyAlignment="1"/>
    <xf numFmtId="196" fontId="6" fillId="10" borderId="0" xfId="2" applyNumberFormat="1" applyFont="1" applyFill="1" applyAlignment="1" applyProtection="1">
      <protection locked="0"/>
    </xf>
    <xf numFmtId="0" fontId="7" fillId="10" borderId="0" xfId="2" applyNumberFormat="1" applyFont="1" applyFill="1" applyAlignment="1" applyProtection="1">
      <protection locked="0"/>
    </xf>
    <xf numFmtId="196" fontId="7" fillId="10" borderId="0" xfId="2" applyNumberFormat="1" applyFont="1" applyFill="1" applyAlignment="1" applyProtection="1">
      <protection locked="0"/>
    </xf>
    <xf numFmtId="0" fontId="84" fillId="10" borderId="0" xfId="2" applyNumberFormat="1" applyFont="1" applyFill="1" applyAlignment="1" applyProtection="1">
      <protection locked="0"/>
    </xf>
    <xf numFmtId="0" fontId="9" fillId="10" borderId="0" xfId="2" applyNumberFormat="1" applyFont="1" applyFill="1" applyAlignment="1" applyProtection="1">
      <protection locked="0"/>
    </xf>
    <xf numFmtId="196" fontId="9" fillId="10" borderId="0" xfId="2" applyNumberFormat="1" applyFont="1" applyFill="1" applyAlignment="1" applyProtection="1">
      <protection locked="0"/>
    </xf>
    <xf numFmtId="196" fontId="16" fillId="10" borderId="3" xfId="2" applyNumberFormat="1" applyFont="1" applyFill="1" applyBorder="1" applyAlignment="1"/>
    <xf numFmtId="0" fontId="6" fillId="10" borderId="0" xfId="0" applyNumberFormat="1" applyFont="1" applyFill="1" applyAlignment="1" applyProtection="1">
      <protection locked="0"/>
    </xf>
    <xf numFmtId="196" fontId="8" fillId="10" borderId="0" xfId="2" applyNumberFormat="1" applyFont="1" applyFill="1" applyAlignment="1"/>
    <xf numFmtId="0" fontId="9" fillId="10" borderId="0" xfId="2" applyNumberFormat="1" applyFont="1" applyFill="1" applyAlignment="1"/>
    <xf numFmtId="196" fontId="9" fillId="10" borderId="0" xfId="2" applyNumberFormat="1" applyFont="1" applyFill="1" applyAlignment="1"/>
    <xf numFmtId="15" fontId="21" fillId="10" borderId="0" xfId="2" applyNumberFormat="1" applyFont="1" applyFill="1" applyAlignment="1"/>
    <xf numFmtId="196" fontId="22" fillId="10" borderId="0" xfId="2" applyNumberFormat="1" applyFont="1" applyFill="1" applyAlignment="1"/>
    <xf numFmtId="196" fontId="22" fillId="10" borderId="3" xfId="2" applyNumberFormat="1" applyFont="1" applyFill="1" applyBorder="1" applyAlignment="1"/>
    <xf numFmtId="0" fontId="16" fillId="10" borderId="2" xfId="2" applyNumberFormat="1" applyFont="1" applyFill="1" applyBorder="1" applyAlignment="1"/>
    <xf numFmtId="196" fontId="16" fillId="10" borderId="19" xfId="2" applyFill="1" applyBorder="1"/>
    <xf numFmtId="0" fontId="19" fillId="19" borderId="8" xfId="2" applyNumberFormat="1" applyFont="1" applyFill="1" applyBorder="1" applyAlignment="1"/>
    <xf numFmtId="0" fontId="2" fillId="19" borderId="7" xfId="2" applyNumberFormat="1" applyFont="1" applyFill="1" applyBorder="1" applyAlignment="1"/>
    <xf numFmtId="196" fontId="19" fillId="19" borderId="7" xfId="2" applyNumberFormat="1" applyFont="1" applyFill="1" applyBorder="1" applyAlignment="1"/>
    <xf numFmtId="196" fontId="16" fillId="19" borderId="7" xfId="2" applyNumberFormat="1" applyFont="1" applyFill="1" applyBorder="1" applyAlignment="1"/>
    <xf numFmtId="0" fontId="16" fillId="19" borderId="7" xfId="2" applyNumberFormat="1" applyFont="1" applyFill="1" applyBorder="1" applyAlignment="1"/>
    <xf numFmtId="196" fontId="16" fillId="19" borderId="25" xfId="2" applyFill="1" applyBorder="1"/>
    <xf numFmtId="1" fontId="41" fillId="19" borderId="1" xfId="2" applyNumberFormat="1" applyFont="1" applyFill="1" applyBorder="1" applyAlignment="1" applyProtection="1">
      <protection locked="0"/>
    </xf>
    <xf numFmtId="196" fontId="41" fillId="19" borderId="1" xfId="2" applyFont="1" applyFill="1" applyBorder="1" applyAlignment="1" applyProtection="1">
      <alignment horizontal="center"/>
      <protection locked="0"/>
    </xf>
    <xf numFmtId="1" fontId="41" fillId="19" borderId="10" xfId="2" applyNumberFormat="1" applyFont="1" applyFill="1" applyBorder="1" applyAlignment="1" applyProtection="1">
      <protection locked="0"/>
    </xf>
    <xf numFmtId="1" fontId="26" fillId="19" borderId="13" xfId="2" applyNumberFormat="1" applyFont="1" applyFill="1" applyBorder="1" applyAlignment="1"/>
    <xf numFmtId="198" fontId="26" fillId="19" borderId="13" xfId="2" applyNumberFormat="1" applyFont="1" applyFill="1" applyBorder="1" applyAlignment="1"/>
    <xf numFmtId="212" fontId="26" fillId="19" borderId="1" xfId="1" applyNumberFormat="1" applyFont="1" applyFill="1" applyBorder="1" applyAlignment="1" applyProtection="1">
      <protection locked="0"/>
    </xf>
    <xf numFmtId="1" fontId="26" fillId="19" borderId="1" xfId="2" applyNumberFormat="1" applyFont="1" applyFill="1" applyBorder="1" applyAlignment="1" applyProtection="1">
      <protection locked="0"/>
    </xf>
    <xf numFmtId="196" fontId="26" fillId="19" borderId="1" xfId="2" applyFont="1" applyFill="1" applyBorder="1" applyAlignment="1" applyProtection="1">
      <protection locked="0"/>
    </xf>
    <xf numFmtId="198" fontId="26" fillId="19" borderId="10" xfId="2" applyNumberFormat="1" applyFont="1" applyFill="1" applyBorder="1" applyAlignment="1" applyProtection="1">
      <protection locked="0"/>
    </xf>
    <xf numFmtId="2" fontId="140" fillId="0" borderId="2" xfId="2" applyNumberFormat="1" applyFont="1" applyBorder="1" applyAlignment="1"/>
    <xf numFmtId="196" fontId="140" fillId="0" borderId="7" xfId="2" applyFont="1" applyFill="1" applyBorder="1" applyAlignment="1" applyProtection="1">
      <protection locked="0"/>
    </xf>
    <xf numFmtId="9" fontId="26" fillId="19" borderId="13" xfId="2" applyNumberFormat="1" applyFont="1" applyFill="1" applyBorder="1" applyAlignment="1"/>
    <xf numFmtId="212" fontId="26" fillId="19" borderId="10" xfId="1" applyNumberFormat="1" applyFont="1" applyFill="1" applyBorder="1" applyAlignment="1" applyProtection="1">
      <protection locked="0"/>
    </xf>
    <xf numFmtId="179" fontId="26" fillId="19" borderId="1" xfId="1" applyFont="1" applyFill="1" applyBorder="1" applyAlignment="1" applyProtection="1">
      <protection locked="0"/>
    </xf>
    <xf numFmtId="1" fontId="26" fillId="19" borderId="13" xfId="2" applyNumberFormat="1" applyFont="1" applyFill="1" applyBorder="1" applyAlignment="1" applyProtection="1"/>
    <xf numFmtId="198" fontId="26" fillId="19" borderId="13" xfId="2" applyNumberFormat="1" applyFont="1" applyFill="1" applyBorder="1" applyAlignment="1" applyProtection="1"/>
    <xf numFmtId="1" fontId="149" fillId="0" borderId="0" xfId="2" applyNumberFormat="1" applyFont="1" applyAlignment="1" applyProtection="1"/>
    <xf numFmtId="2" fontId="26" fillId="19" borderId="13" xfId="2" applyNumberFormat="1" applyFont="1" applyFill="1" applyBorder="1" applyAlignment="1"/>
    <xf numFmtId="2" fontId="26" fillId="19" borderId="1" xfId="2" applyNumberFormat="1" applyFont="1" applyFill="1" applyBorder="1" applyAlignment="1" applyProtection="1">
      <protection locked="0"/>
    </xf>
    <xf numFmtId="197" fontId="26" fillId="19" borderId="1" xfId="2" applyNumberFormat="1" applyFont="1" applyFill="1" applyBorder="1" applyAlignment="1" applyProtection="1">
      <protection locked="0"/>
    </xf>
    <xf numFmtId="1" fontId="26" fillId="19" borderId="10" xfId="2" applyNumberFormat="1" applyFont="1" applyFill="1" applyBorder="1" applyAlignment="1" applyProtection="1">
      <protection locked="0"/>
    </xf>
    <xf numFmtId="212" fontId="66" fillId="19" borderId="13" xfId="1" applyNumberFormat="1" applyFont="1" applyFill="1" applyBorder="1"/>
    <xf numFmtId="212" fontId="26" fillId="19" borderId="13" xfId="1" applyNumberFormat="1" applyFont="1" applyFill="1" applyBorder="1" applyAlignment="1"/>
    <xf numFmtId="196" fontId="26" fillId="19" borderId="10" xfId="2" applyFont="1" applyFill="1" applyBorder="1" applyAlignment="1" applyProtection="1">
      <protection locked="0"/>
    </xf>
    <xf numFmtId="3" fontId="26" fillId="19" borderId="1" xfId="2" applyNumberFormat="1" applyFont="1" applyFill="1" applyBorder="1" applyAlignment="1" applyProtection="1">
      <protection locked="0"/>
    </xf>
    <xf numFmtId="212" fontId="16" fillId="19" borderId="7" xfId="1" applyNumberFormat="1" applyFont="1" applyFill="1" applyBorder="1" applyAlignment="1"/>
    <xf numFmtId="0" fontId="16" fillId="20" borderId="3" xfId="2" applyNumberFormat="1" applyFont="1" applyFill="1" applyBorder="1" applyAlignment="1"/>
    <xf numFmtId="0" fontId="16" fillId="20" borderId="0" xfId="2" applyNumberFormat="1" applyFont="1" applyFill="1" applyAlignment="1"/>
    <xf numFmtId="196" fontId="16" fillId="20" borderId="15" xfId="2" applyFill="1" applyBorder="1"/>
    <xf numFmtId="0" fontId="20" fillId="20" borderId="3" xfId="2" applyNumberFormat="1" applyFont="1" applyFill="1" applyBorder="1" applyAlignment="1"/>
    <xf numFmtId="0" fontId="20" fillId="20" borderId="0" xfId="2" applyNumberFormat="1" applyFont="1" applyFill="1" applyAlignment="1"/>
    <xf numFmtId="196" fontId="20" fillId="20" borderId="0" xfId="2" applyNumberFormat="1" applyFont="1" applyFill="1" applyAlignment="1"/>
    <xf numFmtId="196" fontId="16" fillId="20" borderId="0" xfId="2" applyNumberFormat="1" applyFont="1" applyFill="1" applyAlignment="1"/>
    <xf numFmtId="196" fontId="5" fillId="20" borderId="0" xfId="2" applyNumberFormat="1" applyFont="1" applyFill="1" applyAlignment="1"/>
    <xf numFmtId="196" fontId="6" fillId="20" borderId="0" xfId="2" applyNumberFormat="1" applyFont="1" applyFill="1" applyAlignment="1" applyProtection="1">
      <protection locked="0"/>
    </xf>
    <xf numFmtId="0" fontId="7" fillId="20" borderId="0" xfId="2" applyNumberFormat="1" applyFont="1" applyFill="1" applyAlignment="1" applyProtection="1">
      <protection locked="0"/>
    </xf>
    <xf numFmtId="196" fontId="7" fillId="20" borderId="0" xfId="2" applyNumberFormat="1" applyFont="1" applyFill="1" applyAlignment="1" applyProtection="1">
      <protection locked="0"/>
    </xf>
    <xf numFmtId="0" fontId="84" fillId="20" borderId="0" xfId="2" applyNumberFormat="1" applyFont="1" applyFill="1" applyAlignment="1" applyProtection="1">
      <protection locked="0"/>
    </xf>
    <xf numFmtId="0" fontId="9" fillId="20" borderId="0" xfId="2" applyNumberFormat="1" applyFont="1" applyFill="1" applyAlignment="1" applyProtection="1">
      <protection locked="0"/>
    </xf>
    <xf numFmtId="196" fontId="9" fillId="20" borderId="0" xfId="2" applyNumberFormat="1" applyFont="1" applyFill="1" applyAlignment="1" applyProtection="1">
      <protection locked="0"/>
    </xf>
    <xf numFmtId="196" fontId="16" fillId="20" borderId="3" xfId="2" applyNumberFormat="1" applyFont="1" applyFill="1" applyBorder="1" applyAlignment="1"/>
    <xf numFmtId="0" fontId="6" fillId="20" borderId="0" xfId="0" applyNumberFormat="1" applyFont="1" applyFill="1" applyAlignment="1" applyProtection="1">
      <protection locked="0"/>
    </xf>
    <xf numFmtId="196" fontId="8" fillId="20" borderId="0" xfId="2" applyNumberFormat="1" applyFont="1" applyFill="1" applyAlignment="1"/>
    <xf numFmtId="0" fontId="9" fillId="20" borderId="0" xfId="2" applyNumberFormat="1" applyFont="1" applyFill="1" applyAlignment="1"/>
    <xf numFmtId="196" fontId="9" fillId="20" borderId="0" xfId="2" applyNumberFormat="1" applyFont="1" applyFill="1" applyAlignment="1"/>
    <xf numFmtId="15" fontId="21" fillId="20" borderId="0" xfId="2" applyNumberFormat="1" applyFont="1" applyFill="1" applyAlignment="1"/>
    <xf numFmtId="196" fontId="22" fillId="20" borderId="0" xfId="2" applyNumberFormat="1" applyFont="1" applyFill="1" applyAlignment="1"/>
    <xf numFmtId="0" fontId="16" fillId="20" borderId="1" xfId="2" applyNumberFormat="1" applyFont="1" applyFill="1" applyBorder="1" applyAlignment="1"/>
    <xf numFmtId="196" fontId="22" fillId="20" borderId="3" xfId="2" applyNumberFormat="1" applyFont="1" applyFill="1" applyBorder="1" applyAlignment="1"/>
    <xf numFmtId="0" fontId="16" fillId="20" borderId="2" xfId="2" applyNumberFormat="1" applyFont="1" applyFill="1" applyBorder="1" applyAlignment="1"/>
    <xf numFmtId="196" fontId="16" fillId="20" borderId="19" xfId="2" applyFill="1" applyBorder="1"/>
    <xf numFmtId="0" fontId="0" fillId="0" borderId="102" xfId="0" applyFont="1" applyFill="1" applyBorder="1" applyAlignment="1">
      <alignment horizontal="center"/>
    </xf>
    <xf numFmtId="0" fontId="126" fillId="11" borderId="102" xfId="0" applyFont="1" applyFill="1" applyBorder="1" applyAlignment="1"/>
    <xf numFmtId="0" fontId="11" fillId="11" borderId="39" xfId="0" applyFont="1" applyFill="1" applyBorder="1" applyAlignment="1"/>
    <xf numFmtId="2" fontId="150" fillId="11" borderId="39" xfId="0" applyNumberFormat="1" applyFont="1" applyFill="1" applyBorder="1" applyAlignment="1"/>
    <xf numFmtId="2" fontId="151" fillId="11" borderId="51" xfId="0" applyNumberFormat="1" applyFont="1" applyFill="1" applyBorder="1" applyAlignment="1">
      <alignment horizontal="right"/>
    </xf>
    <xf numFmtId="2" fontId="151" fillId="11" borderId="39" xfId="0" applyNumberFormat="1" applyFont="1" applyFill="1" applyBorder="1" applyAlignment="1"/>
    <xf numFmtId="2" fontId="152" fillId="11" borderId="55" xfId="0" applyNumberFormat="1" applyFont="1" applyFill="1" applyBorder="1" applyAlignment="1"/>
    <xf numFmtId="2" fontId="153" fillId="11" borderId="54" xfId="0" applyNumberFormat="1" applyFont="1" applyFill="1" applyBorder="1" applyAlignment="1"/>
    <xf numFmtId="2" fontId="153" fillId="11" borderId="55" xfId="0" applyNumberFormat="1" applyFont="1" applyFill="1" applyBorder="1" applyAlignment="1"/>
    <xf numFmtId="197" fontId="126" fillId="14" borderId="55" xfId="0" applyNumberFormat="1" applyFont="1" applyFill="1" applyBorder="1" applyAlignment="1" applyProtection="1">
      <protection locked="0"/>
    </xf>
    <xf numFmtId="0" fontId="0" fillId="0" borderId="13" xfId="0" applyBorder="1" applyAlignment="1"/>
    <xf numFmtId="196" fontId="154" fillId="6" borderId="0" xfId="2" applyNumberFormat="1" applyFont="1" applyFill="1" applyBorder="1" applyAlignment="1">
      <alignment horizontal="center"/>
    </xf>
    <xf numFmtId="196" fontId="57" fillId="0" borderId="15" xfId="2" applyFont="1" applyBorder="1"/>
    <xf numFmtId="196" fontId="16" fillId="0" borderId="15" xfId="2" applyFont="1" applyBorder="1"/>
    <xf numFmtId="198" fontId="26" fillId="0" borderId="0" xfId="2" applyNumberFormat="1" applyFont="1" applyFill="1" applyBorder="1" applyAlignment="1" applyProtection="1">
      <protection locked="0"/>
    </xf>
    <xf numFmtId="198" fontId="155" fillId="0" borderId="0" xfId="2" applyNumberFormat="1" applyFont="1" applyFill="1" applyBorder="1" applyAlignment="1" applyProtection="1">
      <protection locked="0"/>
    </xf>
    <xf numFmtId="0" fontId="156" fillId="0" borderId="0" xfId="2" applyNumberFormat="1" applyFont="1" applyFill="1" applyAlignment="1"/>
    <xf numFmtId="0" fontId="157" fillId="0" borderId="0" xfId="0" applyFont="1" applyFill="1" applyBorder="1" applyAlignment="1"/>
    <xf numFmtId="0" fontId="157" fillId="0" borderId="0" xfId="0" applyFont="1" applyBorder="1" applyAlignment="1"/>
    <xf numFmtId="196" fontId="156" fillId="0" borderId="15" xfId="2" applyFont="1" applyBorder="1"/>
    <xf numFmtId="196" fontId="156" fillId="0" borderId="0" xfId="2" applyFont="1" applyAlignment="1"/>
    <xf numFmtId="0" fontId="156" fillId="0" borderId="0" xfId="2" applyNumberFormat="1" applyFont="1" applyAlignment="1"/>
    <xf numFmtId="196" fontId="157" fillId="0" borderId="15" xfId="2" applyFont="1" applyBorder="1"/>
    <xf numFmtId="1" fontId="156" fillId="0" borderId="0" xfId="2" applyNumberFormat="1" applyFont="1" applyFill="1" applyBorder="1" applyAlignment="1" applyProtection="1">
      <protection locked="0"/>
    </xf>
    <xf numFmtId="0" fontId="156" fillId="0" borderId="0" xfId="2" applyNumberFormat="1" applyFont="1" applyBorder="1" applyAlignment="1" applyProtection="1">
      <protection locked="0"/>
    </xf>
    <xf numFmtId="1" fontId="156" fillId="0" borderId="15" xfId="2" applyNumberFormat="1" applyFont="1" applyBorder="1"/>
    <xf numFmtId="196" fontId="156" fillId="0" borderId="0" xfId="2" applyFont="1" applyBorder="1" applyAlignment="1"/>
    <xf numFmtId="1" fontId="156" fillId="0" borderId="0" xfId="2" applyNumberFormat="1" applyFont="1" applyBorder="1" applyAlignment="1"/>
    <xf numFmtId="196" fontId="156" fillId="0" borderId="15" xfId="2" quotePrefix="1" applyFont="1" applyBorder="1"/>
    <xf numFmtId="0" fontId="156" fillId="0" borderId="0" xfId="2" applyNumberFormat="1" applyFont="1" applyBorder="1" applyAlignment="1"/>
    <xf numFmtId="0" fontId="99" fillId="0" borderId="0" xfId="2" applyNumberFormat="1" applyFont="1" applyAlignment="1"/>
    <xf numFmtId="0" fontId="11" fillId="0" borderId="0" xfId="2" applyNumberFormat="1" applyFont="1" applyAlignment="1"/>
    <xf numFmtId="196" fontId="158" fillId="0" borderId="7" xfId="2" applyFont="1" applyFill="1" applyBorder="1" applyAlignment="1" applyProtection="1">
      <protection locked="0"/>
    </xf>
    <xf numFmtId="179" fontId="143" fillId="14" borderId="7" xfId="1" applyNumberFormat="1" applyFont="1" applyFill="1" applyBorder="1" applyAlignment="1"/>
    <xf numFmtId="221" fontId="27" fillId="0" borderId="0" xfId="1" applyNumberFormat="1" applyFont="1" applyBorder="1" applyAlignment="1"/>
    <xf numFmtId="1" fontId="26" fillId="6" borderId="1" xfId="2" applyNumberFormat="1" applyFont="1" applyFill="1" applyBorder="1" applyAlignment="1" applyProtection="1">
      <alignment horizontal="center"/>
      <protection locked="0"/>
    </xf>
    <xf numFmtId="9" fontId="26" fillId="6" borderId="1" xfId="3" applyFont="1" applyFill="1" applyBorder="1" applyAlignment="1" applyProtection="1">
      <protection locked="0"/>
    </xf>
    <xf numFmtId="0" fontId="159" fillId="0" borderId="0" xfId="0" applyFont="1" applyAlignment="1"/>
    <xf numFmtId="1" fontId="0" fillId="0" borderId="0" xfId="0" applyNumberFormat="1" applyAlignment="1"/>
    <xf numFmtId="0" fontId="16" fillId="0" borderId="0" xfId="0" quotePrefix="1" applyFont="1" applyAlignment="1"/>
    <xf numFmtId="2" fontId="16" fillId="0" borderId="8" xfId="0" applyNumberFormat="1" applyFont="1" applyBorder="1" applyAlignment="1"/>
    <xf numFmtId="9" fontId="16" fillId="0" borderId="0" xfId="3" applyFont="1" applyAlignment="1"/>
    <xf numFmtId="4" fontId="16" fillId="0" borderId="2" xfId="0" applyNumberFormat="1" applyFont="1" applyFill="1" applyBorder="1" applyAlignment="1"/>
    <xf numFmtId="2" fontId="16" fillId="0" borderId="25" xfId="0" applyNumberFormat="1" applyFont="1" applyBorder="1" applyAlignment="1"/>
    <xf numFmtId="0" fontId="0" fillId="0" borderId="103" xfId="0" applyBorder="1" applyAlignment="1"/>
    <xf numFmtId="198" fontId="0" fillId="0" borderId="10" xfId="0" applyNumberFormat="1" applyBorder="1" applyAlignment="1"/>
    <xf numFmtId="0" fontId="0" fillId="7" borderId="0" xfId="0" applyFill="1" applyAlignment="1"/>
    <xf numFmtId="0" fontId="126" fillId="11" borderId="104" xfId="0" applyFont="1" applyFill="1" applyBorder="1"/>
    <xf numFmtId="0" fontId="126" fillId="11" borderId="59" xfId="0" applyFont="1" applyFill="1" applyBorder="1" applyAlignment="1"/>
    <xf numFmtId="2" fontId="126" fillId="11" borderId="32" xfId="0" applyNumberFormat="1" applyFont="1" applyFill="1" applyBorder="1" applyAlignment="1">
      <alignment horizontal="center"/>
    </xf>
    <xf numFmtId="212" fontId="16" fillId="0" borderId="105" xfId="1" applyNumberFormat="1" applyFont="1" applyBorder="1" applyAlignment="1"/>
    <xf numFmtId="1" fontId="126" fillId="11" borderId="32" xfId="0" applyNumberFormat="1" applyFont="1" applyFill="1" applyBorder="1" applyAlignment="1"/>
    <xf numFmtId="0" fontId="126" fillId="11" borderId="106" xfId="0" applyFont="1" applyFill="1" applyBorder="1"/>
    <xf numFmtId="0" fontId="126" fillId="11" borderId="57" xfId="0" applyFont="1" applyFill="1" applyBorder="1" applyAlignment="1"/>
    <xf numFmtId="2" fontId="126" fillId="11" borderId="34" xfId="0" applyNumberFormat="1" applyFont="1" applyFill="1" applyBorder="1" applyAlignment="1">
      <alignment horizontal="center"/>
    </xf>
    <xf numFmtId="212" fontId="16" fillId="0" borderId="107" xfId="1" applyNumberFormat="1" applyFont="1" applyBorder="1" applyAlignment="1"/>
    <xf numFmtId="1" fontId="126" fillId="11" borderId="34" xfId="0" applyNumberFormat="1" applyFont="1" applyFill="1" applyBorder="1" applyAlignment="1"/>
    <xf numFmtId="0" fontId="126" fillId="11" borderId="34" xfId="0" applyFont="1" applyFill="1" applyBorder="1" applyAlignment="1"/>
    <xf numFmtId="0" fontId="0" fillId="0" borderId="43" xfId="0" quotePrefix="1" applyBorder="1" applyAlignment="1"/>
    <xf numFmtId="0" fontId="0" fillId="0" borderId="108" xfId="0" applyBorder="1"/>
    <xf numFmtId="0" fontId="0" fillId="0" borderId="56" xfId="0" applyBorder="1" applyAlignment="1"/>
    <xf numFmtId="0" fontId="0" fillId="0" borderId="35" xfId="0" applyBorder="1"/>
    <xf numFmtId="212" fontId="16" fillId="0" borderId="109" xfId="1" applyNumberFormat="1" applyFont="1" applyBorder="1" applyAlignment="1"/>
    <xf numFmtId="1" fontId="0" fillId="0" borderId="35" xfId="0" applyNumberFormat="1" applyBorder="1" applyAlignment="1"/>
    <xf numFmtId="0" fontId="126" fillId="11" borderId="31" xfId="0" applyFont="1" applyFill="1" applyBorder="1" applyAlignment="1"/>
    <xf numFmtId="0" fontId="0" fillId="11" borderId="32" xfId="0" applyFont="1" applyFill="1" applyBorder="1" applyAlignment="1"/>
    <xf numFmtId="3" fontId="126" fillId="11" borderId="59" xfId="0" applyNumberFormat="1" applyFont="1" applyFill="1" applyBorder="1" applyAlignment="1"/>
    <xf numFmtId="0" fontId="126" fillId="11" borderId="32" xfId="0" applyFont="1" applyFill="1" applyBorder="1" applyAlignment="1"/>
    <xf numFmtId="195" fontId="16" fillId="0" borderId="59" xfId="0" applyNumberFormat="1" applyFont="1" applyBorder="1" applyAlignment="1">
      <alignment horizontal="center"/>
    </xf>
    <xf numFmtId="0" fontId="126" fillId="11" borderId="33" xfId="0" applyFont="1" applyFill="1" applyBorder="1" applyAlignment="1"/>
    <xf numFmtId="0" fontId="0" fillId="11" borderId="34" xfId="0" applyFont="1" applyFill="1" applyBorder="1" applyAlignment="1"/>
    <xf numFmtId="3" fontId="126" fillId="11" borderId="57" xfId="0" applyNumberFormat="1" applyFont="1" applyFill="1" applyBorder="1" applyAlignment="1"/>
    <xf numFmtId="195" fontId="16" fillId="0" borderId="57" xfId="0" applyNumberFormat="1" applyFont="1" applyBorder="1" applyAlignment="1">
      <alignment horizontal="center"/>
    </xf>
    <xf numFmtId="0" fontId="126" fillId="11" borderId="43" xfId="0" applyFont="1" applyFill="1" applyBorder="1" applyAlignment="1"/>
    <xf numFmtId="0" fontId="0" fillId="11" borderId="35" xfId="0" applyFont="1" applyFill="1" applyBorder="1" applyAlignment="1"/>
    <xf numFmtId="3" fontId="126" fillId="11" borderId="56" xfId="0" applyNumberFormat="1" applyFont="1" applyFill="1" applyBorder="1" applyAlignment="1"/>
    <xf numFmtId="0" fontId="126" fillId="11" borderId="35" xfId="0" applyFont="1" applyFill="1" applyBorder="1" applyAlignment="1"/>
    <xf numFmtId="195" fontId="16" fillId="0" borderId="56" xfId="0" applyNumberFormat="1" applyFont="1" applyBorder="1" applyAlignment="1">
      <alignment horizontal="center"/>
    </xf>
    <xf numFmtId="1" fontId="0" fillId="11" borderId="45" xfId="0" applyNumberFormat="1" applyFont="1" applyFill="1" applyBorder="1" applyAlignment="1"/>
    <xf numFmtId="0" fontId="15" fillId="11" borderId="45" xfId="0" quotePrefix="1" applyNumberFormat="1" applyFont="1" applyFill="1" applyBorder="1" applyAlignment="1" applyProtection="1">
      <protection locked="0"/>
    </xf>
    <xf numFmtId="0" fontId="15" fillId="11" borderId="45" xfId="0" applyNumberFormat="1" applyFont="1" applyFill="1" applyBorder="1" applyAlignment="1" applyProtection="1">
      <protection locked="0"/>
    </xf>
    <xf numFmtId="1" fontId="15" fillId="11" borderId="38" xfId="0" applyNumberFormat="1" applyFont="1" applyFill="1" applyBorder="1" applyAlignment="1" applyProtection="1">
      <protection locked="0"/>
    </xf>
    <xf numFmtId="195" fontId="126" fillId="11" borderId="38" xfId="0" applyNumberFormat="1" applyFont="1" applyFill="1" applyBorder="1" applyAlignment="1"/>
    <xf numFmtId="2" fontId="15" fillId="14" borderId="38" xfId="0" applyNumberFormat="1" applyFont="1" applyFill="1" applyBorder="1" applyAlignment="1" applyProtection="1">
      <protection locked="0"/>
    </xf>
    <xf numFmtId="9" fontId="15" fillId="11" borderId="38" xfId="0" applyNumberFormat="1" applyFont="1" applyFill="1" applyBorder="1" applyAlignment="1" applyProtection="1">
      <protection locked="0"/>
    </xf>
    <xf numFmtId="1" fontId="0" fillId="11" borderId="46" xfId="0" applyNumberFormat="1" applyFont="1" applyFill="1" applyBorder="1" applyAlignment="1"/>
    <xf numFmtId="0" fontId="15" fillId="11" borderId="46" xfId="0" quotePrefix="1" applyNumberFormat="1" applyFont="1" applyFill="1" applyBorder="1" applyAlignment="1" applyProtection="1">
      <protection locked="0"/>
    </xf>
    <xf numFmtId="0" fontId="0" fillId="11" borderId="39" xfId="0" applyFill="1" applyBorder="1" applyAlignment="1"/>
    <xf numFmtId="1" fontId="15" fillId="11" borderId="39" xfId="0" applyNumberFormat="1" applyFont="1" applyFill="1" applyBorder="1" applyAlignment="1" applyProtection="1">
      <protection locked="0"/>
    </xf>
    <xf numFmtId="195" fontId="126" fillId="11" borderId="39" xfId="0" applyNumberFormat="1" applyFont="1" applyFill="1" applyBorder="1" applyAlignment="1"/>
    <xf numFmtId="2" fontId="15" fillId="14" borderId="39" xfId="0" applyNumberFormat="1" applyFont="1" applyFill="1" applyBorder="1" applyAlignment="1" applyProtection="1">
      <protection locked="0"/>
    </xf>
    <xf numFmtId="9" fontId="15" fillId="11" borderId="39" xfId="0" applyNumberFormat="1" applyFont="1" applyFill="1" applyBorder="1" applyAlignment="1" applyProtection="1">
      <protection locked="0"/>
    </xf>
    <xf numFmtId="1" fontId="0" fillId="2" borderId="39" xfId="0" applyNumberFormat="1" applyFont="1" applyFill="1" applyBorder="1" applyAlignment="1"/>
    <xf numFmtId="1" fontId="16" fillId="11" borderId="55" xfId="0" quotePrefix="1" applyNumberFormat="1" applyFont="1" applyFill="1" applyBorder="1" applyAlignment="1">
      <alignment horizontal="left" vertical="center"/>
    </xf>
    <xf numFmtId="0" fontId="126" fillId="11" borderId="55" xfId="0" applyFont="1" applyFill="1" applyBorder="1"/>
    <xf numFmtId="0" fontId="0" fillId="11" borderId="52" xfId="0" applyFill="1" applyBorder="1"/>
    <xf numFmtId="2" fontId="160" fillId="11" borderId="55" xfId="0" applyNumberFormat="1" applyFont="1" applyFill="1" applyBorder="1" applyAlignment="1"/>
    <xf numFmtId="0" fontId="126" fillId="11" borderId="52" xfId="0" applyFont="1" applyFill="1" applyBorder="1"/>
    <xf numFmtId="195" fontId="126" fillId="11" borderId="55" xfId="0" applyNumberFormat="1" applyFont="1" applyFill="1" applyBorder="1"/>
    <xf numFmtId="2" fontId="15" fillId="14" borderId="55" xfId="0" applyNumberFormat="1" applyFont="1" applyFill="1" applyBorder="1" applyAlignment="1" applyProtection="1">
      <protection locked="0"/>
    </xf>
    <xf numFmtId="9" fontId="11" fillId="11" borderId="55" xfId="3" applyFont="1" applyFill="1" applyBorder="1"/>
    <xf numFmtId="0" fontId="0" fillId="0" borderId="55" xfId="0" applyBorder="1"/>
    <xf numFmtId="0" fontId="0" fillId="0" borderId="110" xfId="0" applyFont="1" applyBorder="1" applyAlignment="1"/>
    <xf numFmtId="0" fontId="125" fillId="11" borderId="111" xfId="0" applyFont="1" applyFill="1" applyBorder="1" applyAlignment="1"/>
    <xf numFmtId="3" fontId="16" fillId="0" borderId="112" xfId="0" applyNumberFormat="1" applyFont="1" applyBorder="1" applyAlignment="1"/>
    <xf numFmtId="198" fontId="0" fillId="0" borderId="110" xfId="3" applyNumberFormat="1" applyFont="1" applyBorder="1" applyAlignment="1"/>
    <xf numFmtId="1" fontId="125" fillId="11" borderId="112" xfId="0" applyNumberFormat="1" applyFont="1" applyFill="1" applyBorder="1" applyAlignment="1"/>
    <xf numFmtId="3" fontId="0" fillId="0" borderId="112" xfId="0" applyNumberFormat="1" applyFont="1" applyFill="1" applyBorder="1" applyAlignment="1"/>
    <xf numFmtId="0" fontId="125" fillId="11" borderId="113" xfId="0" applyFont="1" applyFill="1" applyBorder="1" applyAlignment="1"/>
    <xf numFmtId="2" fontId="125" fillId="11" borderId="114" xfId="0" applyNumberFormat="1" applyFont="1" applyFill="1" applyBorder="1" applyAlignment="1"/>
    <xf numFmtId="2" fontId="0" fillId="0" borderId="114" xfId="0" applyNumberFormat="1" applyFont="1" applyBorder="1" applyAlignment="1"/>
    <xf numFmtId="1" fontId="125" fillId="11" borderId="115" xfId="0" applyNumberFormat="1" applyFont="1" applyFill="1" applyBorder="1" applyAlignment="1"/>
    <xf numFmtId="1" fontId="0" fillId="0" borderId="116" xfId="0" applyNumberFormat="1" applyFont="1" applyBorder="1" applyAlignment="1"/>
    <xf numFmtId="2" fontId="0" fillId="11" borderId="115" xfId="0" applyNumberFormat="1" applyFont="1" applyFill="1" applyBorder="1" applyAlignment="1"/>
    <xf numFmtId="3" fontId="0" fillId="0" borderId="113" xfId="0" applyNumberFormat="1" applyFont="1" applyBorder="1" applyAlignment="1"/>
    <xf numFmtId="3" fontId="0" fillId="0" borderId="116" xfId="0" applyNumberFormat="1" applyFont="1" applyBorder="1" applyAlignment="1"/>
    <xf numFmtId="3" fontId="0" fillId="0" borderId="110" xfId="0" applyNumberFormat="1" applyFont="1" applyBorder="1" applyAlignment="1"/>
    <xf numFmtId="3" fontId="0" fillId="0" borderId="117" xfId="0" applyNumberFormat="1" applyFont="1" applyBorder="1" applyAlignment="1"/>
    <xf numFmtId="0" fontId="0" fillId="0" borderId="39" xfId="0" applyFont="1" applyBorder="1" applyAlignment="1"/>
    <xf numFmtId="0" fontId="125" fillId="11" borderId="51" xfId="0" applyFont="1" applyFill="1" applyBorder="1" applyAlignment="1"/>
    <xf numFmtId="3" fontId="16" fillId="0" borderId="39" xfId="0" applyNumberFormat="1" applyFont="1" applyBorder="1" applyAlignment="1"/>
    <xf numFmtId="198" fontId="0" fillId="0" borderId="39" xfId="3" applyNumberFormat="1" applyFont="1" applyBorder="1" applyAlignment="1"/>
    <xf numFmtId="1" fontId="125" fillId="11" borderId="39" xfId="0" applyNumberFormat="1" applyFont="1" applyFill="1" applyBorder="1" applyAlignment="1"/>
    <xf numFmtId="3" fontId="0" fillId="0" borderId="39" xfId="0" applyNumberFormat="1" applyFont="1" applyFill="1" applyBorder="1" applyAlignment="1"/>
    <xf numFmtId="2" fontId="125" fillId="11" borderId="118" xfId="0" applyNumberFormat="1" applyFont="1" applyFill="1" applyBorder="1" applyAlignment="1"/>
    <xf numFmtId="2" fontId="0" fillId="0" borderId="118" xfId="0" applyNumberFormat="1" applyFont="1" applyBorder="1" applyAlignment="1"/>
    <xf numFmtId="1" fontId="125" fillId="11" borderId="118" xfId="0" applyNumberFormat="1" applyFont="1" applyFill="1" applyBorder="1" applyAlignment="1"/>
    <xf numFmtId="1" fontId="0" fillId="0" borderId="119" xfId="0" applyNumberFormat="1" applyFont="1" applyBorder="1" applyAlignment="1"/>
    <xf numFmtId="2" fontId="0" fillId="11" borderId="118" xfId="0" applyNumberFormat="1" applyFont="1" applyFill="1" applyBorder="1" applyAlignment="1"/>
    <xf numFmtId="3" fontId="0" fillId="0" borderId="51" xfId="0" applyNumberFormat="1" applyFont="1" applyBorder="1" applyAlignment="1"/>
    <xf numFmtId="3" fontId="0" fillId="0" borderId="119" xfId="0" applyNumberFormat="1" applyFont="1" applyBorder="1" applyAlignment="1"/>
    <xf numFmtId="3" fontId="0" fillId="0" borderId="39" xfId="0" applyNumberFormat="1" applyFont="1" applyBorder="1" applyAlignment="1"/>
    <xf numFmtId="3" fontId="0" fillId="0" borderId="50" xfId="0" applyNumberFormat="1" applyFont="1" applyBorder="1" applyAlignment="1"/>
    <xf numFmtId="0" fontId="0" fillId="0" borderId="120" xfId="0" applyFont="1" applyBorder="1" applyAlignment="1"/>
    <xf numFmtId="0" fontId="125" fillId="11" borderId="121" xfId="0" applyFont="1" applyFill="1" applyBorder="1" applyAlignment="1"/>
    <xf numFmtId="3" fontId="16" fillId="0" borderId="122" xfId="0" applyNumberFormat="1" applyFont="1" applyBorder="1" applyAlignment="1"/>
    <xf numFmtId="198" fontId="0" fillId="0" borderId="120" xfId="3" applyNumberFormat="1" applyFont="1" applyBorder="1" applyAlignment="1"/>
    <xf numFmtId="0" fontId="125" fillId="11" borderId="122" xfId="0" applyFont="1" applyFill="1" applyBorder="1" applyAlignment="1"/>
    <xf numFmtId="3" fontId="0" fillId="0" borderId="120" xfId="0" applyNumberFormat="1" applyFont="1" applyFill="1" applyBorder="1" applyAlignment="1"/>
    <xf numFmtId="2" fontId="125" fillId="11" borderId="123" xfId="0" applyNumberFormat="1" applyFont="1" applyFill="1" applyBorder="1" applyAlignment="1"/>
    <xf numFmtId="2" fontId="0" fillId="0" borderId="123" xfId="0" applyNumberFormat="1" applyFont="1" applyBorder="1" applyAlignment="1"/>
    <xf numFmtId="1" fontId="125" fillId="11" borderId="123" xfId="0" applyNumberFormat="1" applyFont="1" applyFill="1" applyBorder="1" applyAlignment="1"/>
    <xf numFmtId="1" fontId="0" fillId="0" borderId="124" xfId="0" applyNumberFormat="1" applyFont="1" applyBorder="1" applyAlignment="1"/>
    <xf numFmtId="2" fontId="0" fillId="11" borderId="123" xfId="0" applyNumberFormat="1" applyFont="1" applyFill="1" applyBorder="1" applyAlignment="1"/>
    <xf numFmtId="3" fontId="0" fillId="0" borderId="121" xfId="0" applyNumberFormat="1" applyFont="1" applyBorder="1" applyAlignment="1"/>
    <xf numFmtId="3" fontId="0" fillId="0" borderId="124" xfId="0" applyNumberFormat="1" applyFont="1" applyBorder="1" applyAlignment="1"/>
    <xf numFmtId="3" fontId="0" fillId="0" borderId="120" xfId="0" applyNumberFormat="1" applyFont="1" applyBorder="1" applyAlignment="1"/>
    <xf numFmtId="3" fontId="0" fillId="0" borderId="125" xfId="0" applyNumberFormat="1" applyFont="1" applyBorder="1" applyAlignment="1"/>
    <xf numFmtId="0" fontId="161" fillId="11" borderId="45" xfId="0" applyFont="1" applyFill="1" applyBorder="1" applyAlignment="1">
      <alignment horizontal="center"/>
    </xf>
    <xf numFmtId="0" fontId="50" fillId="0" borderId="38" xfId="0" applyFont="1" applyBorder="1" applyAlignment="1">
      <alignment horizontal="center"/>
    </xf>
    <xf numFmtId="0" fontId="49" fillId="11" borderId="45" xfId="0" applyNumberFormat="1" applyFont="1" applyFill="1" applyBorder="1" applyAlignment="1" applyProtection="1">
      <alignment horizontal="center"/>
      <protection locked="0"/>
    </xf>
    <xf numFmtId="0" fontId="161" fillId="11" borderId="38" xfId="0" applyNumberFormat="1" applyFont="1" applyFill="1" applyBorder="1" applyAlignment="1" applyProtection="1">
      <alignment horizontal="center"/>
      <protection locked="0"/>
    </xf>
    <xf numFmtId="1" fontId="49" fillId="11" borderId="45" xfId="0" applyNumberFormat="1" applyFont="1" applyFill="1" applyBorder="1" applyAlignment="1" applyProtection="1">
      <protection locked="0"/>
    </xf>
    <xf numFmtId="1" fontId="49" fillId="11" borderId="38" xfId="0" applyNumberFormat="1" applyFont="1" applyFill="1" applyBorder="1" applyAlignment="1" applyProtection="1">
      <protection locked="0"/>
    </xf>
    <xf numFmtId="2" fontId="49" fillId="11" borderId="38" xfId="0" applyNumberFormat="1" applyFont="1" applyFill="1" applyBorder="1" applyAlignment="1" applyProtection="1">
      <protection locked="0"/>
    </xf>
    <xf numFmtId="2" fontId="49" fillId="11" borderId="45" xfId="0" applyNumberFormat="1" applyFont="1" applyFill="1" applyBorder="1" applyAlignment="1" applyProtection="1">
      <protection locked="0"/>
    </xf>
    <xf numFmtId="2" fontId="50" fillId="0" borderId="45" xfId="0" applyNumberFormat="1" applyFont="1" applyBorder="1" applyAlignment="1"/>
    <xf numFmtId="2" fontId="50" fillId="0" borderId="38" xfId="0" applyNumberFormat="1" applyFont="1" applyBorder="1" applyAlignment="1"/>
    <xf numFmtId="0" fontId="161" fillId="11" borderId="46" xfId="0" applyFont="1" applyFill="1" applyBorder="1" applyAlignment="1">
      <alignment horizontal="center"/>
    </xf>
    <xf numFmtId="0" fontId="50" fillId="0" borderId="39" xfId="0" applyFont="1" applyBorder="1" applyAlignment="1">
      <alignment horizontal="center"/>
    </xf>
    <xf numFmtId="0" fontId="49" fillId="11" borderId="46" xfId="0" quotePrefix="1" applyNumberFormat="1" applyFont="1" applyFill="1" applyBorder="1" applyAlignment="1" applyProtection="1">
      <alignment horizontal="center"/>
      <protection locked="0"/>
    </xf>
    <xf numFmtId="0" fontId="49" fillId="11" borderId="39" xfId="0" applyNumberFormat="1" applyFont="1" applyFill="1" applyBorder="1" applyAlignment="1" applyProtection="1">
      <alignment horizontal="center"/>
      <protection locked="0"/>
    </xf>
    <xf numFmtId="1" fontId="49" fillId="11" borderId="46" xfId="0" applyNumberFormat="1" applyFont="1" applyFill="1" applyBorder="1" applyAlignment="1" applyProtection="1">
      <protection locked="0"/>
    </xf>
    <xf numFmtId="1" fontId="49" fillId="11" borderId="39" xfId="0" applyNumberFormat="1" applyFont="1" applyFill="1" applyBorder="1" applyAlignment="1" applyProtection="1">
      <protection locked="0"/>
    </xf>
    <xf numFmtId="2" fontId="49" fillId="11" borderId="46" xfId="0" applyNumberFormat="1" applyFont="1" applyFill="1" applyBorder="1" applyAlignment="1" applyProtection="1">
      <protection locked="0"/>
    </xf>
    <xf numFmtId="2" fontId="49" fillId="11" borderId="39" xfId="0" applyNumberFormat="1" applyFont="1" applyFill="1" applyBorder="1" applyAlignment="1" applyProtection="1">
      <protection locked="0"/>
    </xf>
    <xf numFmtId="2" fontId="50" fillId="0" borderId="39" xfId="0" applyNumberFormat="1" applyFont="1" applyBorder="1" applyAlignment="1"/>
    <xf numFmtId="0" fontId="49" fillId="11" borderId="46" xfId="0" applyNumberFormat="1" applyFont="1" applyFill="1" applyBorder="1" applyAlignment="1" applyProtection="1">
      <alignment horizontal="center"/>
      <protection locked="0"/>
    </xf>
    <xf numFmtId="2" fontId="50" fillId="0" borderId="46" xfId="0" applyNumberFormat="1" applyFont="1" applyBorder="1" applyAlignment="1"/>
    <xf numFmtId="0" fontId="161" fillId="11" borderId="52" xfId="0" applyFont="1" applyFill="1" applyBorder="1" applyAlignment="1">
      <alignment horizontal="center"/>
    </xf>
    <xf numFmtId="0" fontId="50" fillId="0" borderId="55" xfId="0" applyFont="1" applyBorder="1" applyAlignment="1">
      <alignment horizontal="center"/>
    </xf>
    <xf numFmtId="0" fontId="49" fillId="11" borderId="52" xfId="0" quotePrefix="1" applyNumberFormat="1" applyFont="1" applyFill="1" applyBorder="1" applyAlignment="1" applyProtection="1">
      <alignment horizontal="center"/>
      <protection locked="0"/>
    </xf>
    <xf numFmtId="0" fontId="49" fillId="11" borderId="55" xfId="0" applyNumberFormat="1" applyFont="1" applyFill="1" applyBorder="1" applyAlignment="1" applyProtection="1">
      <alignment horizontal="center"/>
      <protection locked="0"/>
    </xf>
    <xf numFmtId="1" fontId="49" fillId="11" borderId="52" xfId="0" applyNumberFormat="1" applyFont="1" applyFill="1" applyBorder="1" applyAlignment="1" applyProtection="1">
      <protection locked="0"/>
    </xf>
    <xf numFmtId="1" fontId="49" fillId="11" borderId="55" xfId="0" applyNumberFormat="1" applyFont="1" applyFill="1" applyBorder="1" applyAlignment="1" applyProtection="1">
      <protection locked="0"/>
    </xf>
    <xf numFmtId="2" fontId="49" fillId="11" borderId="52" xfId="0" applyNumberFormat="1" applyFont="1" applyFill="1" applyBorder="1" applyAlignment="1" applyProtection="1">
      <protection locked="0"/>
    </xf>
    <xf numFmtId="2" fontId="50" fillId="0" borderId="55" xfId="0" applyNumberFormat="1" applyFont="1" applyBorder="1" applyAlignment="1"/>
    <xf numFmtId="195" fontId="0" fillId="15" borderId="41" xfId="0" applyNumberFormat="1" applyFill="1" applyBorder="1" applyAlignment="1"/>
    <xf numFmtId="0" fontId="25" fillId="0" borderId="0" xfId="0" applyFont="1" applyFill="1" applyBorder="1" applyAlignment="1"/>
    <xf numFmtId="0" fontId="0" fillId="0" borderId="0" xfId="0" applyFont="1" applyFill="1" applyAlignment="1"/>
    <xf numFmtId="3" fontId="0" fillId="0" borderId="0" xfId="0" applyNumberFormat="1" applyFont="1" applyBorder="1" applyAlignment="1"/>
    <xf numFmtId="0" fontId="112" fillId="0" borderId="126" xfId="0" applyFont="1" applyBorder="1" applyAlignment="1">
      <alignment horizontal="justify" vertical="center" wrapText="1"/>
    </xf>
    <xf numFmtId="0" fontId="16" fillId="0" borderId="127" xfId="0" applyFont="1" applyBorder="1" applyAlignment="1">
      <alignment horizontal="center"/>
    </xf>
    <xf numFmtId="0" fontId="16" fillId="0" borderId="128" xfId="0" applyFont="1" applyBorder="1" applyAlignment="1">
      <alignment horizontal="center"/>
    </xf>
    <xf numFmtId="0" fontId="16" fillId="0" borderId="44" xfId="0" applyFont="1" applyBorder="1" applyAlignment="1">
      <alignment horizontal="justify" vertical="center" wrapText="1"/>
    </xf>
    <xf numFmtId="2" fontId="0" fillId="0" borderId="56" xfId="0" applyNumberFormat="1" applyFont="1" applyBorder="1" applyAlignment="1"/>
    <xf numFmtId="0" fontId="0" fillId="11" borderId="129" xfId="0" applyFill="1" applyBorder="1" applyAlignment="1"/>
    <xf numFmtId="0" fontId="0" fillId="11" borderId="107" xfId="0" applyFill="1" applyBorder="1" applyAlignment="1"/>
    <xf numFmtId="0" fontId="0" fillId="11" borderId="109" xfId="0" applyFill="1" applyBorder="1" applyAlignment="1"/>
    <xf numFmtId="0" fontId="16" fillId="0" borderId="13" xfId="0" applyFont="1" applyFill="1" applyBorder="1" applyAlignment="1">
      <alignment horizontal="left" vertical="center" wrapText="1"/>
    </xf>
    <xf numFmtId="4" fontId="16" fillId="0" borderId="0" xfId="0" applyNumberFormat="1" applyFont="1" applyFill="1" applyBorder="1" applyAlignment="1"/>
    <xf numFmtId="0" fontId="112" fillId="0" borderId="127" xfId="0" applyFont="1" applyBorder="1" applyAlignment="1">
      <alignment horizontal="left" vertical="center" wrapText="1"/>
    </xf>
    <xf numFmtId="2" fontId="0" fillId="11" borderId="130" xfId="0" applyNumberFormat="1" applyFont="1" applyFill="1" applyBorder="1" applyAlignment="1"/>
    <xf numFmtId="2" fontId="0" fillId="11" borderId="57" xfId="0" applyNumberFormat="1" applyFont="1" applyFill="1" applyBorder="1" applyAlignment="1"/>
    <xf numFmtId="2" fontId="16" fillId="0" borderId="13" xfId="0" applyNumberFormat="1" applyFont="1" applyBorder="1" applyAlignment="1"/>
    <xf numFmtId="9" fontId="0" fillId="0" borderId="0" xfId="3" applyFont="1" applyFill="1" applyBorder="1" applyAlignment="1">
      <alignment horizontal="center"/>
    </xf>
    <xf numFmtId="0" fontId="16" fillId="0" borderId="47" xfId="0" applyFont="1" applyFill="1" applyBorder="1" applyAlignment="1">
      <alignment horizontal="left" vertical="center" wrapText="1"/>
    </xf>
    <xf numFmtId="2" fontId="0" fillId="0" borderId="30" xfId="0" applyNumberFormat="1" applyFont="1" applyFill="1" applyBorder="1" applyAlignment="1"/>
    <xf numFmtId="9" fontId="113" fillId="0" borderId="93" xfId="3" applyFont="1" applyBorder="1" applyAlignment="1"/>
    <xf numFmtId="2" fontId="16" fillId="0" borderId="26" xfId="0" applyNumberFormat="1" applyFont="1" applyBorder="1" applyAlignment="1"/>
    <xf numFmtId="2" fontId="0" fillId="0" borderId="30" xfId="0" applyNumberFormat="1" applyFont="1" applyBorder="1" applyAlignment="1"/>
    <xf numFmtId="9" fontId="113" fillId="0" borderId="131" xfId="3" applyFont="1" applyBorder="1" applyAlignment="1"/>
    <xf numFmtId="0" fontId="125" fillId="11" borderId="132" xfId="0" applyFont="1" applyFill="1" applyBorder="1" applyAlignment="1">
      <alignment horizontal="left" vertical="center" wrapText="1"/>
    </xf>
    <xf numFmtId="0" fontId="125" fillId="11" borderId="133" xfId="0" applyFont="1" applyFill="1" applyBorder="1" applyAlignment="1">
      <alignment horizontal="left" vertical="center" wrapText="1"/>
    </xf>
    <xf numFmtId="0" fontId="125" fillId="11" borderId="134" xfId="0" applyFont="1" applyFill="1" applyBorder="1" applyAlignment="1">
      <alignment horizontal="left" vertical="center" wrapText="1"/>
    </xf>
    <xf numFmtId="2" fontId="162" fillId="0" borderId="0" xfId="0" applyNumberFormat="1" applyFont="1" applyBorder="1" applyAlignment="1"/>
    <xf numFmtId="0" fontId="125" fillId="11" borderId="77" xfId="0" applyFont="1" applyFill="1" applyBorder="1" applyAlignment="1">
      <alignment horizontal="left" vertical="center" wrapText="1"/>
    </xf>
    <xf numFmtId="0" fontId="125" fillId="11" borderId="41" xfId="0" applyFont="1" applyFill="1" applyBorder="1" applyAlignment="1">
      <alignment horizontal="left" vertical="center" wrapText="1"/>
    </xf>
    <xf numFmtId="195" fontId="0" fillId="0" borderId="0" xfId="0" applyNumberFormat="1" applyFont="1" applyFill="1" applyBorder="1" applyAlignment="1">
      <alignment horizontal="right" vertical="center"/>
    </xf>
    <xf numFmtId="0" fontId="16" fillId="0" borderId="30" xfId="0" applyFont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2" fontId="125" fillId="0" borderId="13" xfId="0" applyNumberFormat="1" applyFont="1" applyFill="1" applyBorder="1" applyAlignment="1">
      <alignment vertical="center"/>
    </xf>
    <xf numFmtId="0" fontId="0" fillId="11" borderId="13" xfId="0" applyFill="1" applyBorder="1" applyAlignment="1">
      <alignment horizontal="center" vertical="center"/>
    </xf>
    <xf numFmtId="0" fontId="16" fillId="11" borderId="47" xfId="0" applyFont="1" applyFill="1" applyBorder="1" applyAlignment="1">
      <alignment vertical="center"/>
    </xf>
    <xf numFmtId="0" fontId="0" fillId="11" borderId="26" xfId="0" applyFont="1" applyFill="1" applyBorder="1" applyAlignment="1">
      <alignment vertical="center"/>
    </xf>
    <xf numFmtId="0" fontId="0" fillId="11" borderId="135" xfId="0" applyFont="1" applyFill="1" applyBorder="1" applyAlignment="1">
      <alignment vertical="center"/>
    </xf>
    <xf numFmtId="3" fontId="125" fillId="11" borderId="13" xfId="0" applyNumberFormat="1" applyFont="1" applyFill="1" applyBorder="1" applyAlignment="1">
      <alignment vertical="center"/>
    </xf>
    <xf numFmtId="0" fontId="0" fillId="0" borderId="136" xfId="0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3" fontId="0" fillId="0" borderId="37" xfId="0" applyNumberFormat="1" applyFont="1" applyBorder="1" applyAlignment="1">
      <alignment vertical="center"/>
    </xf>
    <xf numFmtId="0" fontId="0" fillId="0" borderId="57" xfId="0" applyBorder="1" applyAlignment="1">
      <alignment horizontal="center" vertical="center"/>
    </xf>
    <xf numFmtId="0" fontId="16" fillId="0" borderId="31" xfId="0" applyFont="1" applyFill="1" applyBorder="1" applyAlignment="1">
      <alignment vertical="center"/>
    </xf>
    <xf numFmtId="0" fontId="0" fillId="0" borderId="32" xfId="0" applyFont="1" applyBorder="1" applyAlignment="1">
      <alignment vertical="center"/>
    </xf>
    <xf numFmtId="9" fontId="125" fillId="0" borderId="59" xfId="3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0" fontId="0" fillId="0" borderId="35" xfId="0" applyFont="1" applyBorder="1" applyAlignment="1">
      <alignment vertical="center"/>
    </xf>
    <xf numFmtId="9" fontId="125" fillId="0" borderId="56" xfId="3" applyFont="1" applyBorder="1" applyAlignment="1">
      <alignment vertical="center"/>
    </xf>
    <xf numFmtId="0" fontId="0" fillId="0" borderId="56" xfId="0" applyBorder="1" applyAlignment="1">
      <alignment horizontal="center" vertical="center"/>
    </xf>
    <xf numFmtId="0" fontId="16" fillId="0" borderId="47" xfId="0" applyFont="1" applyFill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35" xfId="0" applyFont="1" applyBorder="1" applyAlignment="1">
      <alignment vertical="center"/>
    </xf>
    <xf numFmtId="212" fontId="105" fillId="14" borderId="13" xfId="1" applyNumberFormat="1" applyFont="1" applyFill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205" fontId="0" fillId="14" borderId="13" xfId="0" applyNumberFormat="1" applyFont="1" applyFill="1" applyBorder="1" applyAlignment="1">
      <alignment vertical="center"/>
    </xf>
    <xf numFmtId="1" fontId="0" fillId="0" borderId="0" xfId="0" applyNumberFormat="1" applyFont="1" applyBorder="1" applyAlignment="1"/>
    <xf numFmtId="0" fontId="26" fillId="19" borderId="13" xfId="2" applyNumberFormat="1" applyFont="1" applyFill="1" applyBorder="1" applyAlignment="1"/>
    <xf numFmtId="198" fontId="16" fillId="0" borderId="0" xfId="3" applyNumberFormat="1" applyFont="1"/>
    <xf numFmtId="198" fontId="16" fillId="0" borderId="0" xfId="3" applyNumberFormat="1" applyFont="1" applyAlignment="1"/>
    <xf numFmtId="195" fontId="16" fillId="0" borderId="0" xfId="2" applyNumberFormat="1"/>
    <xf numFmtId="2" fontId="160" fillId="11" borderId="51" xfId="0" applyNumberFormat="1" applyFont="1" applyFill="1" applyBorder="1" applyAlignment="1"/>
    <xf numFmtId="2" fontId="163" fillId="11" borderId="39" xfId="0" applyNumberFormat="1" applyFont="1" applyFill="1" applyBorder="1" applyAlignment="1"/>
    <xf numFmtId="2" fontId="160" fillId="11" borderId="39" xfId="0" applyNumberFormat="1" applyFont="1" applyFill="1" applyBorder="1" applyAlignment="1"/>
    <xf numFmtId="179" fontId="26" fillId="6" borderId="2" xfId="1" applyFont="1" applyFill="1" applyBorder="1" applyAlignment="1" applyProtection="1">
      <protection locked="0"/>
    </xf>
    <xf numFmtId="179" fontId="26" fillId="19" borderId="10" xfId="1" applyFont="1" applyFill="1" applyBorder="1" applyAlignment="1" applyProtection="1">
      <protection locked="0"/>
    </xf>
    <xf numFmtId="2" fontId="26" fillId="19" borderId="10" xfId="2" applyNumberFormat="1" applyFont="1" applyFill="1" applyBorder="1" applyAlignment="1" applyProtection="1">
      <protection locked="0"/>
    </xf>
    <xf numFmtId="1" fontId="26" fillId="19" borderId="10" xfId="2" applyNumberFormat="1" applyFont="1" applyFill="1" applyBorder="1" applyAlignment="1" applyProtection="1">
      <alignment horizontal="center"/>
      <protection locked="0"/>
    </xf>
    <xf numFmtId="212" fontId="26" fillId="0" borderId="0" xfId="1" applyNumberFormat="1" applyFont="1" applyFill="1" applyBorder="1" applyAlignment="1" applyProtection="1">
      <protection locked="0"/>
    </xf>
    <xf numFmtId="196" fontId="164" fillId="0" borderId="0" xfId="2" applyFont="1" applyFill="1" applyBorder="1" applyAlignment="1" applyProtection="1">
      <protection locked="0"/>
    </xf>
    <xf numFmtId="212" fontId="164" fillId="0" borderId="0" xfId="1" applyNumberFormat="1" applyFont="1" applyFill="1" applyBorder="1" applyAlignment="1" applyProtection="1">
      <protection locked="0"/>
    </xf>
    <xf numFmtId="0" fontId="164" fillId="0" borderId="0" xfId="2" applyNumberFormat="1" applyFont="1" applyAlignment="1"/>
    <xf numFmtId="196" fontId="17" fillId="0" borderId="0" xfId="2" applyNumberFormat="1" applyFont="1" applyBorder="1" applyAlignment="1" applyProtection="1">
      <protection locked="0"/>
    </xf>
    <xf numFmtId="179" fontId="164" fillId="0" borderId="0" xfId="1" applyFont="1" applyFill="1" applyBorder="1" applyAlignment="1" applyProtection="1">
      <protection locked="0"/>
    </xf>
    <xf numFmtId="0" fontId="17" fillId="0" borderId="15" xfId="2" applyNumberFormat="1" applyFont="1" applyBorder="1" applyAlignment="1"/>
    <xf numFmtId="2" fontId="15" fillId="14" borderId="120" xfId="0" applyNumberFormat="1" applyFont="1" applyFill="1" applyBorder="1" applyAlignment="1" applyProtection="1">
      <protection locked="0"/>
    </xf>
    <xf numFmtId="1" fontId="16" fillId="11" borderId="120" xfId="0" quotePrefix="1" applyNumberFormat="1" applyFont="1" applyFill="1" applyBorder="1" applyAlignment="1">
      <alignment horizontal="left" vertical="center"/>
    </xf>
    <xf numFmtId="0" fontId="126" fillId="11" borderId="120" xfId="0" applyFont="1" applyFill="1" applyBorder="1"/>
    <xf numFmtId="0" fontId="0" fillId="11" borderId="137" xfId="0" applyFill="1" applyBorder="1"/>
    <xf numFmtId="2" fontId="160" fillId="11" borderId="120" xfId="0" applyNumberFormat="1" applyFont="1" applyFill="1" applyBorder="1" applyAlignment="1"/>
    <xf numFmtId="0" fontId="126" fillId="11" borderId="137" xfId="0" applyFont="1" applyFill="1" applyBorder="1"/>
    <xf numFmtId="195" fontId="126" fillId="11" borderId="120" xfId="0" applyNumberFormat="1" applyFont="1" applyFill="1" applyBorder="1"/>
    <xf numFmtId="9" fontId="11" fillId="11" borderId="120" xfId="3" applyFont="1" applyFill="1" applyBorder="1"/>
    <xf numFmtId="0" fontId="0" fillId="0" borderId="120" xfId="0" applyBorder="1"/>
    <xf numFmtId="179" fontId="26" fillId="0" borderId="2" xfId="1" applyNumberFormat="1" applyFont="1" applyFill="1" applyBorder="1" applyAlignment="1" applyProtection="1">
      <protection locked="0"/>
    </xf>
    <xf numFmtId="179" fontId="26" fillId="8" borderId="10" xfId="1" applyNumberFormat="1" applyFont="1" applyFill="1" applyBorder="1" applyAlignment="1" applyProtection="1">
      <protection locked="0"/>
    </xf>
    <xf numFmtId="196" fontId="26" fillId="8" borderId="10" xfId="2" applyFont="1" applyFill="1" applyBorder="1" applyAlignment="1" applyProtection="1">
      <alignment horizontal="center"/>
      <protection locked="0"/>
    </xf>
    <xf numFmtId="2" fontId="26" fillId="8" borderId="10" xfId="2" applyNumberFormat="1" applyFont="1" applyFill="1" applyBorder="1" applyAlignment="1" applyProtection="1">
      <protection locked="0"/>
    </xf>
    <xf numFmtId="0" fontId="165" fillId="0" borderId="0" xfId="2" applyNumberFormat="1" applyFont="1" applyAlignment="1"/>
    <xf numFmtId="2" fontId="165" fillId="0" borderId="0" xfId="2" applyNumberFormat="1" applyFont="1" applyAlignment="1"/>
    <xf numFmtId="0" fontId="114" fillId="0" borderId="0" xfId="2" applyNumberFormat="1" applyFont="1" applyAlignment="1"/>
    <xf numFmtId="2" fontId="114" fillId="0" borderId="0" xfId="2" applyNumberFormat="1" applyFont="1" applyAlignment="1"/>
    <xf numFmtId="1" fontId="11" fillId="11" borderId="51" xfId="0" applyNumberFormat="1" applyFont="1" applyFill="1" applyBorder="1" applyAlignment="1"/>
    <xf numFmtId="1" fontId="153" fillId="11" borderId="39" xfId="0" applyNumberFormat="1" applyFont="1" applyFill="1" applyBorder="1" applyAlignment="1"/>
    <xf numFmtId="1" fontId="151" fillId="11" borderId="51" xfId="0" applyNumberFormat="1" applyFont="1" applyFill="1" applyBorder="1" applyAlignment="1"/>
    <xf numFmtId="1" fontId="151" fillId="11" borderId="39" xfId="0" applyNumberFormat="1" applyFont="1" applyFill="1" applyBorder="1" applyAlignment="1"/>
    <xf numFmtId="1" fontId="153" fillId="11" borderId="55" xfId="0" applyNumberFormat="1" applyFont="1" applyFill="1" applyBorder="1" applyAlignment="1"/>
    <xf numFmtId="1" fontId="153" fillId="11" borderId="54" xfId="0" applyNumberFormat="1" applyFont="1" applyFill="1" applyBorder="1" applyAlignment="1"/>
    <xf numFmtId="1" fontId="151" fillId="11" borderId="55" xfId="0" applyNumberFormat="1" applyFont="1" applyFill="1" applyBorder="1" applyAlignment="1"/>
    <xf numFmtId="0" fontId="19" fillId="0" borderId="3" xfId="2" applyNumberFormat="1" applyFont="1" applyFill="1" applyBorder="1" applyAlignment="1"/>
    <xf numFmtId="0" fontId="2" fillId="0" borderId="0" xfId="2" applyNumberFormat="1" applyFont="1" applyFill="1" applyBorder="1" applyAlignment="1"/>
    <xf numFmtId="196" fontId="19" fillId="0" borderId="0" xfId="2" applyNumberFormat="1" applyFont="1" applyFill="1" applyBorder="1" applyAlignment="1"/>
    <xf numFmtId="196" fontId="16" fillId="0" borderId="0" xfId="2" applyNumberFormat="1" applyFont="1" applyFill="1" applyBorder="1" applyAlignment="1"/>
    <xf numFmtId="0" fontId="16" fillId="0" borderId="0" xfId="2" applyNumberFormat="1" applyFont="1" applyFill="1" applyBorder="1" applyAlignment="1"/>
    <xf numFmtId="196" fontId="16" fillId="0" borderId="15" xfId="2" applyFill="1" applyBorder="1"/>
    <xf numFmtId="0" fontId="19" fillId="6" borderId="8" xfId="2" applyNumberFormat="1" applyFont="1" applyFill="1" applyBorder="1" applyAlignment="1"/>
    <xf numFmtId="0" fontId="2" fillId="6" borderId="7" xfId="2" applyNumberFormat="1" applyFont="1" applyFill="1" applyBorder="1" applyAlignment="1"/>
    <xf numFmtId="196" fontId="19" fillId="6" borderId="7" xfId="2" applyNumberFormat="1" applyFont="1" applyFill="1" applyBorder="1" applyAlignment="1"/>
    <xf numFmtId="196" fontId="16" fillId="6" borderId="7" xfId="2" applyNumberFormat="1" applyFont="1" applyFill="1" applyBorder="1" applyAlignment="1"/>
    <xf numFmtId="0" fontId="16" fillId="6" borderId="7" xfId="2" applyNumberFormat="1" applyFont="1" applyFill="1" applyBorder="1" applyAlignment="1"/>
    <xf numFmtId="196" fontId="16" fillId="6" borderId="25" xfId="2" applyFill="1" applyBorder="1"/>
    <xf numFmtId="196" fontId="26" fillId="8" borderId="2" xfId="2" applyFont="1" applyFill="1" applyBorder="1" applyAlignment="1" applyProtection="1">
      <protection locked="0"/>
    </xf>
    <xf numFmtId="0" fontId="16" fillId="19" borderId="1" xfId="2" applyNumberFormat="1" applyFont="1" applyFill="1" applyBorder="1" applyAlignment="1"/>
    <xf numFmtId="9" fontId="26" fillId="0" borderId="0" xfId="3" applyFont="1" applyFill="1" applyBorder="1" applyAlignment="1" applyProtection="1">
      <protection locked="0"/>
    </xf>
    <xf numFmtId="10" fontId="26" fillId="6" borderId="13" xfId="3" applyNumberFormat="1" applyFont="1" applyFill="1" applyBorder="1" applyAlignment="1" applyProtection="1">
      <protection locked="0"/>
    </xf>
    <xf numFmtId="9" fontId="166" fillId="6" borderId="10" xfId="3" applyFont="1" applyFill="1" applyBorder="1" applyAlignment="1"/>
    <xf numFmtId="9" fontId="26" fillId="0" borderId="2" xfId="3" applyFont="1" applyFill="1" applyBorder="1" applyAlignment="1" applyProtection="1">
      <protection locked="0"/>
    </xf>
    <xf numFmtId="10" fontId="26" fillId="6" borderId="13" xfId="3" applyNumberFormat="1" applyFont="1" applyFill="1" applyBorder="1" applyAlignment="1" applyProtection="1">
      <protection locked="0"/>
    </xf>
    <xf numFmtId="10" fontId="26" fillId="6" borderId="0" xfId="2" applyNumberFormat="1" applyFont="1" applyFill="1" applyBorder="1" applyAlignment="1" applyProtection="1">
      <protection locked="0"/>
    </xf>
    <xf numFmtId="198" fontId="26" fillId="6" borderId="2" xfId="2" applyNumberFormat="1" applyFont="1" applyFill="1" applyBorder="1" applyAlignment="1" applyProtection="1">
      <protection locked="0"/>
    </xf>
    <xf numFmtId="198" fontId="26" fillId="0" borderId="2" xfId="2" applyNumberFormat="1" applyFont="1" applyFill="1" applyBorder="1" applyAlignment="1" applyProtection="1">
      <protection locked="0"/>
    </xf>
    <xf numFmtId="10" fontId="26" fillId="19" borderId="10" xfId="2" applyNumberFormat="1" applyFont="1" applyFill="1" applyBorder="1" applyAlignment="1" applyProtection="1">
      <protection locked="0"/>
    </xf>
    <xf numFmtId="10" fontId="26" fillId="0" borderId="0" xfId="2" applyNumberFormat="1" applyFont="1" applyFill="1" applyBorder="1" applyAlignment="1" applyProtection="1">
      <protection locked="0"/>
    </xf>
    <xf numFmtId="10" fontId="26" fillId="8" borderId="0" xfId="2" applyNumberFormat="1" applyFont="1" applyFill="1" applyBorder="1" applyAlignment="1" applyProtection="1">
      <protection locked="0"/>
    </xf>
    <xf numFmtId="0" fontId="75" fillId="0" borderId="0" xfId="1" applyNumberFormat="1" applyFont="1" applyAlignment="1"/>
    <xf numFmtId="0" fontId="15" fillId="11" borderId="46" xfId="0" applyNumberFormat="1" applyFont="1" applyFill="1" applyBorder="1" applyAlignment="1" applyProtection="1">
      <alignment horizontal="center"/>
      <protection locked="0"/>
    </xf>
    <xf numFmtId="0" fontId="0" fillId="11" borderId="51" xfId="0" applyFill="1" applyBorder="1" applyAlignment="1"/>
    <xf numFmtId="0" fontId="0" fillId="11" borderId="50" xfId="0" applyFill="1" applyBorder="1" applyAlignment="1"/>
    <xf numFmtId="0" fontId="16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2" xfId="0" applyBorder="1" applyAlignment="1">
      <alignment horizontal="center"/>
    </xf>
    <xf numFmtId="0" fontId="126" fillId="11" borderId="30" xfId="0" applyFont="1" applyFill="1" applyBorder="1" applyAlignment="1">
      <alignment horizontal="center" vertical="center"/>
    </xf>
    <xf numFmtId="0" fontId="126" fillId="11" borderId="14" xfId="0" applyFont="1" applyFill="1" applyBorder="1" applyAlignment="1">
      <alignment vertical="center"/>
    </xf>
    <xf numFmtId="0" fontId="126" fillId="11" borderId="37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16" fillId="0" borderId="8" xfId="0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6" fillId="0" borderId="47" xfId="0" applyFont="1" applyFill="1" applyBorder="1" applyAlignment="1">
      <alignment horizontal="center"/>
    </xf>
    <xf numFmtId="0" fontId="0" fillId="0" borderId="135" xfId="0" applyBorder="1" applyAlignment="1">
      <alignment horizontal="center"/>
    </xf>
    <xf numFmtId="0" fontId="44" fillId="7" borderId="0" xfId="0" applyFont="1" applyFill="1" applyAlignment="1"/>
    <xf numFmtId="0" fontId="0" fillId="0" borderId="0" xfId="0" applyAlignment="1"/>
    <xf numFmtId="0" fontId="46" fillId="7" borderId="0" xfId="0" applyNumberFormat="1" applyFont="1" applyFill="1" applyAlignment="1"/>
    <xf numFmtId="0" fontId="15" fillId="11" borderId="45" xfId="0" applyNumberFormat="1" applyFont="1" applyFill="1" applyBorder="1" applyAlignment="1" applyProtection="1">
      <alignment horizontal="center"/>
      <protection locked="0"/>
    </xf>
    <xf numFmtId="0" fontId="0" fillId="11" borderId="49" xfId="0" applyFill="1" applyBorder="1" applyAlignment="1"/>
    <xf numFmtId="0" fontId="0" fillId="11" borderId="48" xfId="0" applyFill="1" applyBorder="1" applyAlignment="1"/>
    <xf numFmtId="0" fontId="15" fillId="11" borderId="137" xfId="0" applyNumberFormat="1" applyFont="1" applyFill="1" applyBorder="1" applyAlignment="1" applyProtection="1">
      <alignment horizontal="center"/>
      <protection locked="0"/>
    </xf>
    <xf numFmtId="0" fontId="0" fillId="11" borderId="138" xfId="0" applyFill="1" applyBorder="1" applyAlignment="1"/>
    <xf numFmtId="0" fontId="0" fillId="11" borderId="125" xfId="0" applyFill="1" applyBorder="1" applyAlignment="1"/>
    <xf numFmtId="0" fontId="44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26" fillId="6" borderId="3" xfId="2" applyNumberFormat="1" applyFont="1" applyFill="1" applyBorder="1" applyAlignment="1" applyProtection="1">
      <protection locked="0"/>
    </xf>
    <xf numFmtId="198" fontId="26" fillId="6" borderId="8" xfId="2" applyNumberFormat="1" applyFont="1" applyFill="1" applyBorder="1" applyAlignment="1" applyProtection="1">
      <protection locked="0"/>
    </xf>
    <xf numFmtId="0" fontId="0" fillId="0" borderId="7" xfId="0" applyBorder="1" applyAlignment="1"/>
    <xf numFmtId="0" fontId="0" fillId="0" borderId="25" xfId="0" applyBorder="1" applyAlignment="1"/>
    <xf numFmtId="196" fontId="154" fillId="6" borderId="0" xfId="2" applyNumberFormat="1" applyFont="1" applyFill="1" applyBorder="1" applyAlignment="1">
      <alignment horizontal="center"/>
    </xf>
    <xf numFmtId="1" fontId="156" fillId="0" borderId="0" xfId="2" applyNumberFormat="1" applyFont="1" applyAlignment="1"/>
    <xf numFmtId="1" fontId="157" fillId="0" borderId="0" xfId="0" applyNumberFormat="1" applyFont="1" applyAlignment="1"/>
    <xf numFmtId="0" fontId="157" fillId="0" borderId="0" xfId="0" applyFont="1" applyAlignment="1"/>
  </cellXfs>
  <cellStyles count="4">
    <cellStyle name="Comma" xfId="1" builtinId="3"/>
    <cellStyle name="Normal" xfId="0" builtinId="0"/>
    <cellStyle name="Normal_C" xfId="2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>
                <a:latin typeface="Arial" panose="020B0604020202020204" pitchFamily="34" charset="0"/>
                <a:cs typeface="Arial" panose="020B0604020202020204" pitchFamily="34" charset="0"/>
              </a:rPr>
              <a:t>* includes signalling,</a:t>
            </a:r>
            <a:r>
              <a:rPr lang="en-US" sz="1400" baseline="0">
                <a:latin typeface="Arial" panose="020B0604020202020204" pitchFamily="34" charset="0"/>
                <a:cs typeface="Arial" panose="020B0604020202020204" pitchFamily="34" charset="0"/>
              </a:rPr>
              <a:t> non-variable track maintenance, station staffing costs and HO overhead</a:t>
            </a:r>
            <a:endParaRPr lang="en-US" sz="14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569856726272983"/>
          <c:y val="0.96741578622469138"/>
        </c:manualLayout>
      </c:layout>
      <c:spPr>
        <a:ln>
          <a:solidFill>
            <a:sysClr val="windowText" lastClr="000000"/>
          </a:solidFill>
        </a:ln>
      </c:spPr>
    </c:title>
    <c:view3D>
      <c:depthPercent val="100"/>
      <c:rAngAx val="1"/>
    </c:view3D>
    <c:backWall>
      <c:spPr>
        <a:solidFill>
          <a:srgbClr val="DDDDDD"/>
        </a:solidFill>
      </c:spPr>
    </c:backWall>
    <c:plotArea>
      <c:layout>
        <c:manualLayout>
          <c:layoutTarget val="inner"/>
          <c:xMode val="edge"/>
          <c:yMode val="edge"/>
          <c:x val="0.20381992159433443"/>
          <c:y val="1.9581755383538974E-2"/>
          <c:w val="0.56947461994473625"/>
          <c:h val="0.8962733787490047"/>
        </c:manualLayout>
      </c:layout>
      <c:bar3DChart>
        <c:barDir val="col"/>
        <c:grouping val="stacked"/>
        <c:ser>
          <c:idx val="0"/>
          <c:order val="0"/>
          <c:tx>
            <c:strRef>
              <c:f>containers!$A$441</c:f>
              <c:strCache>
                <c:ptCount val="1"/>
                <c:pt idx="0">
                  <c:v>Train crew</c:v>
                </c:pt>
              </c:strCache>
            </c:strRef>
          </c:tx>
          <c:spPr>
            <a:solidFill>
              <a:srgbClr val="008080"/>
            </a:solidFill>
          </c:spPr>
          <c:cat>
            <c:strRef>
              <c:f>containers!$B$440:$D$440</c:f>
              <c:strCache>
                <c:ptCount val="3"/>
                <c:pt idx="0">
                  <c:v>SRMC</c:v>
                </c:pt>
                <c:pt idx="1">
                  <c:v>LRMC</c:v>
                </c:pt>
                <c:pt idx="2">
                  <c:v>F.D. Cost</c:v>
                </c:pt>
              </c:strCache>
            </c:strRef>
          </c:cat>
          <c:val>
            <c:numRef>
              <c:f>containers!$B$441:$D$441</c:f>
              <c:numCache>
                <c:formatCode>_-* #,##0.0000_-;\-* #,##0.0000_-;_-* "-"??_-;_-@_-</c:formatCode>
                <c:ptCount val="3"/>
                <c:pt idx="0">
                  <c:v>7.1993579205457731E-4</c:v>
                </c:pt>
                <c:pt idx="1">
                  <c:v>7.1993579205457731E-4</c:v>
                </c:pt>
                <c:pt idx="2">
                  <c:v>7.1993579205457731E-4</c:v>
                </c:pt>
              </c:numCache>
            </c:numRef>
          </c:val>
        </c:ser>
        <c:ser>
          <c:idx val="1"/>
          <c:order val="1"/>
          <c:tx>
            <c:strRef>
              <c:f>containers!$A$442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00FF00"/>
            </a:solidFill>
            <a:ln>
              <a:solidFill>
                <a:srgbClr val="FF99FF"/>
              </a:solidFill>
            </a:ln>
          </c:spPr>
          <c:cat>
            <c:strRef>
              <c:f>containers!$B$440:$D$440</c:f>
              <c:strCache>
                <c:ptCount val="3"/>
                <c:pt idx="0">
                  <c:v>SRMC</c:v>
                </c:pt>
                <c:pt idx="1">
                  <c:v>LRMC</c:v>
                </c:pt>
                <c:pt idx="2">
                  <c:v>F.D. Cost</c:v>
                </c:pt>
              </c:strCache>
            </c:strRef>
          </c:cat>
          <c:val>
            <c:numRef>
              <c:f>containers!$B$442:$D$442</c:f>
              <c:numCache>
                <c:formatCode>_-* #,##0.0000_-;\-* #,##0.0000_-;_-* "-"??_-;_-@_-</c:formatCode>
                <c:ptCount val="3"/>
                <c:pt idx="0">
                  <c:v>5.0289681273463322E-3</c:v>
                </c:pt>
                <c:pt idx="1">
                  <c:v>5.0289681273463322E-3</c:v>
                </c:pt>
                <c:pt idx="2">
                  <c:v>5.0289681273463322E-3</c:v>
                </c:pt>
              </c:numCache>
            </c:numRef>
          </c:val>
        </c:ser>
        <c:ser>
          <c:idx val="2"/>
          <c:order val="2"/>
          <c:tx>
            <c:strRef>
              <c:f>containers!$A$443</c:f>
              <c:strCache>
                <c:ptCount val="1"/>
                <c:pt idx="0">
                  <c:v>Variable track maintenance</c:v>
                </c:pt>
              </c:strCache>
            </c:strRef>
          </c:tx>
          <c:spPr>
            <a:solidFill>
              <a:srgbClr val="FF3300"/>
            </a:solidFill>
          </c:spPr>
          <c:cat>
            <c:strRef>
              <c:f>containers!$B$440:$D$440</c:f>
              <c:strCache>
                <c:ptCount val="3"/>
                <c:pt idx="0">
                  <c:v>SRMC</c:v>
                </c:pt>
                <c:pt idx="1">
                  <c:v>LRMC</c:v>
                </c:pt>
                <c:pt idx="2">
                  <c:v>F.D. Cost</c:v>
                </c:pt>
              </c:strCache>
            </c:strRef>
          </c:cat>
          <c:val>
            <c:numRef>
              <c:f>containers!$B$443:$D$443</c:f>
              <c:numCache>
                <c:formatCode>_-* #,##0.0000_-;\-* #,##0.0000_-;_-* "-"??_-;_-@_-</c:formatCode>
                <c:ptCount val="3"/>
                <c:pt idx="0">
                  <c:v>9.0286343419563469E-4</c:v>
                </c:pt>
                <c:pt idx="1">
                  <c:v>9.0286343419563469E-4</c:v>
                </c:pt>
                <c:pt idx="2">
                  <c:v>9.0286343419563469E-4</c:v>
                </c:pt>
              </c:numCache>
            </c:numRef>
          </c:val>
        </c:ser>
        <c:ser>
          <c:idx val="3"/>
          <c:order val="3"/>
          <c:tx>
            <c:strRef>
              <c:f>containers!$A$444</c:f>
              <c:strCache>
                <c:ptCount val="1"/>
                <c:pt idx="0">
                  <c:v>Loco/rolling stock maint.</c:v>
                </c:pt>
              </c:strCache>
            </c:strRef>
          </c:tx>
          <c:cat>
            <c:strRef>
              <c:f>containers!$B$440:$D$440</c:f>
              <c:strCache>
                <c:ptCount val="3"/>
                <c:pt idx="0">
                  <c:v>SRMC</c:v>
                </c:pt>
                <c:pt idx="1">
                  <c:v>LRMC</c:v>
                </c:pt>
                <c:pt idx="2">
                  <c:v>F.D. Cost</c:v>
                </c:pt>
              </c:strCache>
            </c:strRef>
          </c:cat>
          <c:val>
            <c:numRef>
              <c:f>containers!$B$444:$D$444</c:f>
              <c:numCache>
                <c:formatCode>_-* #,##0.0000_-;\-* #,##0.0000_-;_-* "-"??_-;_-@_-</c:formatCode>
                <c:ptCount val="3"/>
                <c:pt idx="0">
                  <c:v>5.735461777030491E-3</c:v>
                </c:pt>
                <c:pt idx="1">
                  <c:v>5.735461777030491E-3</c:v>
                </c:pt>
                <c:pt idx="2">
                  <c:v>5.735461777030491E-3</c:v>
                </c:pt>
              </c:numCache>
            </c:numRef>
          </c:val>
        </c:ser>
        <c:ser>
          <c:idx val="4"/>
          <c:order val="4"/>
          <c:tx>
            <c:strRef>
              <c:f>containers!$A$445</c:f>
              <c:strCache>
                <c:ptCount val="1"/>
                <c:pt idx="0">
                  <c:v>Loco/rolling stock capital.</c:v>
                </c:pt>
              </c:strCache>
            </c:strRef>
          </c:tx>
          <c:spPr>
            <a:solidFill>
              <a:srgbClr val="99FFCC"/>
            </a:solidFill>
          </c:spPr>
          <c:cat>
            <c:strRef>
              <c:f>containers!$B$440:$D$440</c:f>
              <c:strCache>
                <c:ptCount val="3"/>
                <c:pt idx="0">
                  <c:v>SRMC</c:v>
                </c:pt>
                <c:pt idx="1">
                  <c:v>LRMC</c:v>
                </c:pt>
                <c:pt idx="2">
                  <c:v>F.D. Cost</c:v>
                </c:pt>
              </c:strCache>
            </c:strRef>
          </c:cat>
          <c:val>
            <c:numRef>
              <c:f>containers!$B$445:$D$445</c:f>
              <c:numCache>
                <c:formatCode>_-* #,##0.0000_-;\-* #,##0.0000_-;_-* "-"??_-;_-@_-</c:formatCode>
                <c:ptCount val="3"/>
                <c:pt idx="1">
                  <c:v>1.6128910695578115E-3</c:v>
                </c:pt>
                <c:pt idx="2">
                  <c:v>1.6128910695578115E-3</c:v>
                </c:pt>
              </c:numCache>
            </c:numRef>
          </c:val>
        </c:ser>
        <c:ser>
          <c:idx val="5"/>
          <c:order val="5"/>
          <c:tx>
            <c:strRef>
              <c:f>containers!$A$446</c:f>
              <c:strCache>
                <c:ptCount val="1"/>
                <c:pt idx="0">
                  <c:v>Indirect*</c:v>
                </c:pt>
              </c:strCache>
            </c:strRef>
          </c:tx>
          <c:spPr>
            <a:solidFill>
              <a:srgbClr val="990033"/>
            </a:solidFill>
          </c:spPr>
          <c:cat>
            <c:strRef>
              <c:f>containers!$B$440:$D$440</c:f>
              <c:strCache>
                <c:ptCount val="3"/>
                <c:pt idx="0">
                  <c:v>SRMC</c:v>
                </c:pt>
                <c:pt idx="1">
                  <c:v>LRMC</c:v>
                </c:pt>
                <c:pt idx="2">
                  <c:v>F.D. Cost</c:v>
                </c:pt>
              </c:strCache>
            </c:strRef>
          </c:cat>
          <c:val>
            <c:numRef>
              <c:f>containers!$B$446:$D$446</c:f>
              <c:numCache>
                <c:formatCode>0.0</c:formatCode>
                <c:ptCount val="3"/>
                <c:pt idx="2" formatCode="_-* #,##0.0000_-;\-* #,##0.0000_-;_-* &quot;-&quot;??_-;_-@_-">
                  <c:v>5.5590204063602948E-3</c:v>
                </c:pt>
              </c:numCache>
            </c:numRef>
          </c:val>
        </c:ser>
        <c:shape val="box"/>
        <c:axId val="79498240"/>
        <c:axId val="79508224"/>
        <c:axId val="0"/>
      </c:bar3DChart>
      <c:catAx>
        <c:axId val="7949824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800" b="1"/>
            </a:pPr>
            <a:endParaRPr lang="en-US"/>
          </a:p>
        </c:txPr>
        <c:crossAx val="79508224"/>
        <c:crosses val="autoZero"/>
        <c:auto val="1"/>
        <c:lblAlgn val="ctr"/>
        <c:lblOffset val="100"/>
      </c:catAx>
      <c:valAx>
        <c:axId val="79508224"/>
        <c:scaling>
          <c:orientation val="minMax"/>
        </c:scaling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US$ per tonne-km</a:t>
                </a:r>
              </a:p>
            </c:rich>
          </c:tx>
          <c:layout>
            <c:manualLayout>
              <c:xMode val="edge"/>
              <c:yMode val="edge"/>
              <c:x val="2.5679836039487029E-2"/>
              <c:y val="0.47049140431050179"/>
            </c:manualLayout>
          </c:layout>
          <c:spPr>
            <a:noFill/>
            <a:ln w="25400">
              <a:noFill/>
            </a:ln>
          </c:spPr>
        </c:title>
        <c:numFmt formatCode="_-* #,##0.0000_-;\-* #,##0.0000_-;_-* &quot;-&quot;??_-;_-@_-" sourceLinked="1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794982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0122939709234664"/>
          <c:y val="0.41208006359611143"/>
          <c:w val="0.99243373614090791"/>
          <c:h val="0.64185254761936483"/>
        </c:manualLayout>
      </c:layout>
      <c:txPr>
        <a:bodyPr/>
        <a:lstStyle/>
        <a:p>
          <a:pPr>
            <a:defRPr sz="1400"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CC"/>
    </a:solidFill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8659</xdr:colOff>
      <xdr:row>91</xdr:row>
      <xdr:rowOff>146165</xdr:rowOff>
    </xdr:from>
    <xdr:to>
      <xdr:col>9</xdr:col>
      <xdr:colOff>538939</xdr:colOff>
      <xdr:row>91</xdr:row>
      <xdr:rowOff>146165</xdr:rowOff>
    </xdr:to>
    <xdr:cxnSp macro="">
      <xdr:nvCxnSpPr>
        <xdr:cNvPr id="3" name="Straight Connector 2"/>
        <xdr:cNvCxnSpPr/>
      </xdr:nvCxnSpPr>
      <xdr:spPr>
        <a:xfrm>
          <a:off x="5065568" y="19353068"/>
          <a:ext cx="61912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504306</xdr:colOff>
      <xdr:row>73</xdr:row>
      <xdr:rowOff>1039</xdr:rowOff>
    </xdr:from>
    <xdr:to>
      <xdr:col>9</xdr:col>
      <xdr:colOff>521624</xdr:colOff>
      <xdr:row>91</xdr:row>
      <xdr:rowOff>121228</xdr:rowOff>
    </xdr:to>
    <xdr:cxnSp macro="">
      <xdr:nvCxnSpPr>
        <xdr:cNvPr id="6" name="Straight Arrow Connector 5"/>
        <xdr:cNvCxnSpPr/>
      </xdr:nvCxnSpPr>
      <xdr:spPr>
        <a:xfrm flipH="1" flipV="1">
          <a:off x="11222182" y="15655636"/>
          <a:ext cx="17318" cy="3680114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119</xdr:row>
      <xdr:rowOff>151360</xdr:rowOff>
    </xdr:from>
    <xdr:to>
      <xdr:col>9</xdr:col>
      <xdr:colOff>526823</xdr:colOff>
      <xdr:row>119</xdr:row>
      <xdr:rowOff>154824</xdr:rowOff>
    </xdr:to>
    <xdr:cxnSp macro="">
      <xdr:nvCxnSpPr>
        <xdr:cNvPr id="4" name="Straight Connector 3"/>
        <xdr:cNvCxnSpPr/>
      </xdr:nvCxnSpPr>
      <xdr:spPr>
        <a:xfrm flipV="1">
          <a:off x="5740977" y="26796422"/>
          <a:ext cx="8672947" cy="3464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518160</xdr:colOff>
      <xdr:row>106</xdr:row>
      <xdr:rowOff>5195</xdr:rowOff>
    </xdr:from>
    <xdr:to>
      <xdr:col>9</xdr:col>
      <xdr:colOff>521624</xdr:colOff>
      <xdr:row>119</xdr:row>
      <xdr:rowOff>146168</xdr:rowOff>
    </xdr:to>
    <xdr:cxnSp macro="">
      <xdr:nvCxnSpPr>
        <xdr:cNvPr id="5" name="Straight Arrow Connector 4"/>
        <xdr:cNvCxnSpPr/>
      </xdr:nvCxnSpPr>
      <xdr:spPr>
        <a:xfrm flipH="1" flipV="1">
          <a:off x="11478491" y="22960445"/>
          <a:ext cx="3464" cy="2869623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12989</xdr:colOff>
      <xdr:row>144</xdr:row>
      <xdr:rowOff>148936</xdr:rowOff>
    </xdr:from>
    <xdr:to>
      <xdr:col>7</xdr:col>
      <xdr:colOff>573601</xdr:colOff>
      <xdr:row>144</xdr:row>
      <xdr:rowOff>155863</xdr:rowOff>
    </xdr:to>
    <xdr:cxnSp macro="">
      <xdr:nvCxnSpPr>
        <xdr:cNvPr id="7" name="Straight Connector 6"/>
        <xdr:cNvCxnSpPr/>
      </xdr:nvCxnSpPr>
      <xdr:spPr>
        <a:xfrm>
          <a:off x="5078557" y="32888959"/>
          <a:ext cx="4394488" cy="6927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559724</xdr:colOff>
      <xdr:row>133</xdr:row>
      <xdr:rowOff>0</xdr:rowOff>
    </xdr:from>
    <xdr:to>
      <xdr:col>7</xdr:col>
      <xdr:colOff>570114</xdr:colOff>
      <xdr:row>144</xdr:row>
      <xdr:rowOff>150669</xdr:rowOff>
    </xdr:to>
    <xdr:cxnSp macro="">
      <xdr:nvCxnSpPr>
        <xdr:cNvPr id="10" name="Straight Arrow Connector 9"/>
        <xdr:cNvCxnSpPr/>
      </xdr:nvCxnSpPr>
      <xdr:spPr>
        <a:xfrm flipV="1">
          <a:off x="9459191" y="29692023"/>
          <a:ext cx="5195" cy="3198669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162</xdr:row>
      <xdr:rowOff>112568</xdr:rowOff>
    </xdr:from>
    <xdr:to>
      <xdr:col>8</xdr:col>
      <xdr:colOff>511905</xdr:colOff>
      <xdr:row>162</xdr:row>
      <xdr:rowOff>112568</xdr:rowOff>
    </xdr:to>
    <xdr:cxnSp macro="">
      <xdr:nvCxnSpPr>
        <xdr:cNvPr id="13" name="Straight Connector 12"/>
        <xdr:cNvCxnSpPr/>
      </xdr:nvCxnSpPr>
      <xdr:spPr>
        <a:xfrm>
          <a:off x="9421091" y="37753636"/>
          <a:ext cx="519545" cy="0"/>
        </a:xfrm>
        <a:prstGeom prst="line">
          <a:avLst/>
        </a:prstGeom>
        <a:ln w="38100">
          <a:solidFill>
            <a:srgbClr val="CC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503266</xdr:colOff>
      <xdr:row>153</xdr:row>
      <xdr:rowOff>259773</xdr:rowOff>
    </xdr:from>
    <xdr:to>
      <xdr:col>8</xdr:col>
      <xdr:colOff>511925</xdr:colOff>
      <xdr:row>162</xdr:row>
      <xdr:rowOff>121227</xdr:rowOff>
    </xdr:to>
    <xdr:cxnSp macro="">
      <xdr:nvCxnSpPr>
        <xdr:cNvPr id="15" name="Straight Connector 14"/>
        <xdr:cNvCxnSpPr/>
      </xdr:nvCxnSpPr>
      <xdr:spPr>
        <a:xfrm flipH="1" flipV="1">
          <a:off x="9931977" y="35493614"/>
          <a:ext cx="8659" cy="2268681"/>
        </a:xfrm>
        <a:prstGeom prst="line">
          <a:avLst/>
        </a:prstGeom>
        <a:ln w="38100">
          <a:solidFill>
            <a:srgbClr val="CC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1441565</xdr:colOff>
      <xdr:row>153</xdr:row>
      <xdr:rowOff>251114</xdr:rowOff>
    </xdr:from>
    <xdr:to>
      <xdr:col>8</xdr:col>
      <xdr:colOff>494614</xdr:colOff>
      <xdr:row>154</xdr:row>
      <xdr:rowOff>0</xdr:rowOff>
    </xdr:to>
    <xdr:cxnSp macro="">
      <xdr:nvCxnSpPr>
        <xdr:cNvPr id="17" name="Straight Connector 16"/>
        <xdr:cNvCxnSpPr/>
      </xdr:nvCxnSpPr>
      <xdr:spPr>
        <a:xfrm flipH="1">
          <a:off x="2234045" y="35484955"/>
          <a:ext cx="7689273" cy="17318"/>
        </a:xfrm>
        <a:prstGeom prst="line">
          <a:avLst/>
        </a:prstGeom>
        <a:ln w="38100">
          <a:solidFill>
            <a:srgbClr val="CC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1425286</xdr:colOff>
      <xdr:row>150</xdr:row>
      <xdr:rowOff>181840</xdr:rowOff>
    </xdr:from>
    <xdr:to>
      <xdr:col>1</xdr:col>
      <xdr:colOff>1442604</xdr:colOff>
      <xdr:row>154</xdr:row>
      <xdr:rowOff>0</xdr:rowOff>
    </xdr:to>
    <xdr:cxnSp macro="">
      <xdr:nvCxnSpPr>
        <xdr:cNvPr id="19" name="Straight Connector 18"/>
        <xdr:cNvCxnSpPr/>
      </xdr:nvCxnSpPr>
      <xdr:spPr>
        <a:xfrm flipH="1" flipV="1">
          <a:off x="2225386" y="34619045"/>
          <a:ext cx="8659" cy="883228"/>
        </a:xfrm>
        <a:prstGeom prst="line">
          <a:avLst/>
        </a:prstGeom>
        <a:ln w="38100">
          <a:solidFill>
            <a:srgbClr val="CC66FF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1425286</xdr:colOff>
      <xdr:row>150</xdr:row>
      <xdr:rowOff>165561</xdr:rowOff>
    </xdr:from>
    <xdr:to>
      <xdr:col>2</xdr:col>
      <xdr:colOff>408</xdr:colOff>
      <xdr:row>150</xdr:row>
      <xdr:rowOff>182879</xdr:rowOff>
    </xdr:to>
    <xdr:cxnSp macro="">
      <xdr:nvCxnSpPr>
        <xdr:cNvPr id="21" name="Straight Arrow Connector 20"/>
        <xdr:cNvCxnSpPr/>
      </xdr:nvCxnSpPr>
      <xdr:spPr>
        <a:xfrm flipV="1">
          <a:off x="2225386" y="34610386"/>
          <a:ext cx="259773" cy="8659"/>
        </a:xfrm>
        <a:prstGeom prst="straightConnector1">
          <a:avLst/>
        </a:prstGeom>
        <a:ln w="38100">
          <a:solidFill>
            <a:srgbClr val="CC66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8659</xdr:colOff>
      <xdr:row>163</xdr:row>
      <xdr:rowOff>129886</xdr:rowOff>
    </xdr:from>
    <xdr:to>
      <xdr:col>8</xdr:col>
      <xdr:colOff>869044</xdr:colOff>
      <xdr:row>163</xdr:row>
      <xdr:rowOff>129886</xdr:rowOff>
    </xdr:to>
    <xdr:cxnSp macro="">
      <xdr:nvCxnSpPr>
        <xdr:cNvPr id="23" name="Straight Connector 22"/>
        <xdr:cNvCxnSpPr/>
      </xdr:nvCxnSpPr>
      <xdr:spPr>
        <a:xfrm>
          <a:off x="9429750" y="38039386"/>
          <a:ext cx="883227" cy="0"/>
        </a:xfrm>
        <a:prstGeom prst="line">
          <a:avLst/>
        </a:prstGeom>
        <a:ln w="38100">
          <a:solidFill>
            <a:srgbClr val="0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850669</xdr:colOff>
      <xdr:row>154</xdr:row>
      <xdr:rowOff>155863</xdr:rowOff>
    </xdr:from>
    <xdr:to>
      <xdr:col>8</xdr:col>
      <xdr:colOff>855865</xdr:colOff>
      <xdr:row>163</xdr:row>
      <xdr:rowOff>118816</xdr:rowOff>
    </xdr:to>
    <xdr:cxnSp macro="">
      <xdr:nvCxnSpPr>
        <xdr:cNvPr id="25" name="Straight Connector 24"/>
        <xdr:cNvCxnSpPr/>
      </xdr:nvCxnSpPr>
      <xdr:spPr>
        <a:xfrm flipH="1" flipV="1">
          <a:off x="10287000" y="35658136"/>
          <a:ext cx="5196" cy="2377787"/>
        </a:xfrm>
        <a:prstGeom prst="line">
          <a:avLst/>
        </a:prstGeom>
        <a:ln w="38100">
          <a:solidFill>
            <a:srgbClr val="0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1259725</xdr:colOff>
      <xdr:row>154</xdr:row>
      <xdr:rowOff>129886</xdr:rowOff>
    </xdr:from>
    <xdr:to>
      <xdr:col>8</xdr:col>
      <xdr:colOff>860363</xdr:colOff>
      <xdr:row>154</xdr:row>
      <xdr:rowOff>164523</xdr:rowOff>
    </xdr:to>
    <xdr:cxnSp macro="">
      <xdr:nvCxnSpPr>
        <xdr:cNvPr id="27" name="Straight Connector 26"/>
        <xdr:cNvCxnSpPr/>
      </xdr:nvCxnSpPr>
      <xdr:spPr>
        <a:xfrm flipH="1">
          <a:off x="2052205" y="35666795"/>
          <a:ext cx="8252113" cy="34637"/>
        </a:xfrm>
        <a:prstGeom prst="line">
          <a:avLst/>
        </a:prstGeom>
        <a:ln w="38100">
          <a:solidFill>
            <a:srgbClr val="0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1251066</xdr:colOff>
      <xdr:row>151</xdr:row>
      <xdr:rowOff>190501</xdr:rowOff>
    </xdr:from>
    <xdr:to>
      <xdr:col>1</xdr:col>
      <xdr:colOff>1264921</xdr:colOff>
      <xdr:row>154</xdr:row>
      <xdr:rowOff>161059</xdr:rowOff>
    </xdr:to>
    <xdr:cxnSp macro="">
      <xdr:nvCxnSpPr>
        <xdr:cNvPr id="31" name="Straight Connector 30"/>
        <xdr:cNvCxnSpPr/>
      </xdr:nvCxnSpPr>
      <xdr:spPr>
        <a:xfrm flipH="1" flipV="1">
          <a:off x="2043546" y="34904796"/>
          <a:ext cx="13855" cy="793172"/>
        </a:xfrm>
        <a:prstGeom prst="line">
          <a:avLst/>
        </a:prstGeom>
        <a:ln w="38100">
          <a:solidFill>
            <a:srgbClr val="0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1242406</xdr:colOff>
      <xdr:row>151</xdr:row>
      <xdr:rowOff>165562</xdr:rowOff>
    </xdr:from>
    <xdr:to>
      <xdr:col>2</xdr:col>
      <xdr:colOff>25340</xdr:colOff>
      <xdr:row>151</xdr:row>
      <xdr:rowOff>165566</xdr:rowOff>
    </xdr:to>
    <xdr:cxnSp macro="">
      <xdr:nvCxnSpPr>
        <xdr:cNvPr id="34" name="Straight Arrow Connector 33"/>
        <xdr:cNvCxnSpPr/>
      </xdr:nvCxnSpPr>
      <xdr:spPr>
        <a:xfrm>
          <a:off x="2034886" y="34887477"/>
          <a:ext cx="467592" cy="4"/>
        </a:xfrm>
        <a:prstGeom prst="straightConnector1">
          <a:avLst/>
        </a:prstGeom>
        <a:ln w="38100">
          <a:solidFill>
            <a:srgbClr val="00808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1251065</xdr:colOff>
      <xdr:row>152</xdr:row>
      <xdr:rowOff>147205</xdr:rowOff>
    </xdr:from>
    <xdr:to>
      <xdr:col>2</xdr:col>
      <xdr:colOff>33999</xdr:colOff>
      <xdr:row>152</xdr:row>
      <xdr:rowOff>147209</xdr:rowOff>
    </xdr:to>
    <xdr:cxnSp macro="">
      <xdr:nvCxnSpPr>
        <xdr:cNvPr id="42" name="Straight Arrow Connector 41"/>
        <xdr:cNvCxnSpPr/>
      </xdr:nvCxnSpPr>
      <xdr:spPr>
        <a:xfrm>
          <a:off x="2043545" y="35138591"/>
          <a:ext cx="467592" cy="4"/>
        </a:xfrm>
        <a:prstGeom prst="straightConnector1">
          <a:avLst/>
        </a:prstGeom>
        <a:ln w="38100">
          <a:solidFill>
            <a:srgbClr val="00808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918211</xdr:colOff>
      <xdr:row>54</xdr:row>
      <xdr:rowOff>9525</xdr:rowOff>
    </xdr:from>
    <xdr:to>
      <xdr:col>8</xdr:col>
      <xdr:colOff>927735</xdr:colOff>
      <xdr:row>56</xdr:row>
      <xdr:rowOff>4763</xdr:rowOff>
    </xdr:to>
    <xdr:cxnSp macro="">
      <xdr:nvCxnSpPr>
        <xdr:cNvPr id="11" name="Straight Connector 10"/>
        <xdr:cNvCxnSpPr/>
      </xdr:nvCxnSpPr>
      <xdr:spPr>
        <a:xfrm>
          <a:off x="11658601" y="14258925"/>
          <a:ext cx="9524" cy="404813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756285</xdr:colOff>
      <xdr:row>55</xdr:row>
      <xdr:rowOff>190500</xdr:rowOff>
    </xdr:from>
    <xdr:to>
      <xdr:col>8</xdr:col>
      <xdr:colOff>927735</xdr:colOff>
      <xdr:row>56</xdr:row>
      <xdr:rowOff>0</xdr:rowOff>
    </xdr:to>
    <xdr:cxnSp macro="">
      <xdr:nvCxnSpPr>
        <xdr:cNvPr id="29" name="Straight Connector 28"/>
        <xdr:cNvCxnSpPr/>
      </xdr:nvCxnSpPr>
      <xdr:spPr>
        <a:xfrm flipH="1">
          <a:off x="8239125" y="14649450"/>
          <a:ext cx="3429000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759460</xdr:colOff>
      <xdr:row>49</xdr:row>
      <xdr:rowOff>203200</xdr:rowOff>
    </xdr:from>
    <xdr:to>
      <xdr:col>6</xdr:col>
      <xdr:colOff>772160</xdr:colOff>
      <xdr:row>56</xdr:row>
      <xdr:rowOff>0</xdr:rowOff>
    </xdr:to>
    <xdr:cxnSp macro="">
      <xdr:nvCxnSpPr>
        <xdr:cNvPr id="32" name="Straight Connector 31"/>
        <xdr:cNvCxnSpPr/>
      </xdr:nvCxnSpPr>
      <xdr:spPr>
        <a:xfrm flipV="1">
          <a:off x="8255000" y="12357100"/>
          <a:ext cx="12700" cy="2413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203200</xdr:rowOff>
    </xdr:from>
    <xdr:to>
      <xdr:col>6</xdr:col>
      <xdr:colOff>759359</xdr:colOff>
      <xdr:row>49</xdr:row>
      <xdr:rowOff>203200</xdr:rowOff>
    </xdr:to>
    <xdr:cxnSp macro="">
      <xdr:nvCxnSpPr>
        <xdr:cNvPr id="37" name="Straight Arrow Connector 36"/>
        <xdr:cNvCxnSpPr/>
      </xdr:nvCxnSpPr>
      <xdr:spPr>
        <a:xfrm flipH="1">
          <a:off x="7480300" y="12357100"/>
          <a:ext cx="774700" cy="0"/>
        </a:xfrm>
        <a:prstGeom prst="straightConnector1">
          <a:avLst/>
        </a:prstGeom>
        <a:ln w="381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581660</xdr:colOff>
      <xdr:row>54</xdr:row>
      <xdr:rowOff>9525</xdr:rowOff>
    </xdr:from>
    <xdr:to>
      <xdr:col>10</xdr:col>
      <xdr:colOff>588011</xdr:colOff>
      <xdr:row>58</xdr:row>
      <xdr:rowOff>0</xdr:rowOff>
    </xdr:to>
    <xdr:cxnSp macro="">
      <xdr:nvCxnSpPr>
        <xdr:cNvPr id="39" name="Straight Connector 38"/>
        <xdr:cNvCxnSpPr/>
      </xdr:nvCxnSpPr>
      <xdr:spPr>
        <a:xfrm flipH="1">
          <a:off x="14693900" y="14360525"/>
          <a:ext cx="6351" cy="790575"/>
        </a:xfrm>
        <a:prstGeom prst="line">
          <a:avLst/>
        </a:prstGeom>
        <a:ln w="38100">
          <a:solidFill>
            <a:srgbClr val="A5002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424180</xdr:colOff>
      <xdr:row>57</xdr:row>
      <xdr:rowOff>177800</xdr:rowOff>
    </xdr:from>
    <xdr:to>
      <xdr:col>10</xdr:col>
      <xdr:colOff>588015</xdr:colOff>
      <xdr:row>57</xdr:row>
      <xdr:rowOff>177800</xdr:rowOff>
    </xdr:to>
    <xdr:cxnSp macro="">
      <xdr:nvCxnSpPr>
        <xdr:cNvPr id="43" name="Straight Connector 42"/>
        <xdr:cNvCxnSpPr/>
      </xdr:nvCxnSpPr>
      <xdr:spPr>
        <a:xfrm flipH="1">
          <a:off x="7912100" y="15138400"/>
          <a:ext cx="6788150" cy="0"/>
        </a:xfrm>
        <a:prstGeom prst="line">
          <a:avLst/>
        </a:prstGeom>
        <a:ln w="38100">
          <a:solidFill>
            <a:srgbClr val="A5002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398780</xdr:colOff>
      <xdr:row>50</xdr:row>
      <xdr:rowOff>431800</xdr:rowOff>
    </xdr:from>
    <xdr:to>
      <xdr:col>6</xdr:col>
      <xdr:colOff>398780</xdr:colOff>
      <xdr:row>58</xdr:row>
      <xdr:rowOff>0</xdr:rowOff>
    </xdr:to>
    <xdr:cxnSp macro="">
      <xdr:nvCxnSpPr>
        <xdr:cNvPr id="45" name="Straight Connector 44"/>
        <xdr:cNvCxnSpPr/>
      </xdr:nvCxnSpPr>
      <xdr:spPr>
        <a:xfrm flipV="1">
          <a:off x="7886700" y="12979400"/>
          <a:ext cx="0" cy="2171700"/>
        </a:xfrm>
        <a:prstGeom prst="line">
          <a:avLst/>
        </a:prstGeom>
        <a:ln w="38100">
          <a:solidFill>
            <a:srgbClr val="A5002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1590040</xdr:colOff>
      <xdr:row>50</xdr:row>
      <xdr:rowOff>431800</xdr:rowOff>
    </xdr:from>
    <xdr:to>
      <xdr:col>6</xdr:col>
      <xdr:colOff>386080</xdr:colOff>
      <xdr:row>50</xdr:row>
      <xdr:rowOff>440267</xdr:rowOff>
    </xdr:to>
    <xdr:cxnSp macro="">
      <xdr:nvCxnSpPr>
        <xdr:cNvPr id="48" name="Straight Arrow Connector 47"/>
        <xdr:cNvCxnSpPr/>
      </xdr:nvCxnSpPr>
      <xdr:spPr>
        <a:xfrm flipH="1" flipV="1">
          <a:off x="7467600" y="12979400"/>
          <a:ext cx="406400" cy="12700"/>
        </a:xfrm>
        <a:prstGeom prst="straightConnector1">
          <a:avLst/>
        </a:prstGeom>
        <a:ln w="38100">
          <a:solidFill>
            <a:srgbClr val="A5002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312420</xdr:colOff>
      <xdr:row>432</xdr:row>
      <xdr:rowOff>76200</xdr:rowOff>
    </xdr:from>
    <xdr:to>
      <xdr:col>12</xdr:col>
      <xdr:colOff>1036320</xdr:colOff>
      <xdr:row>491</xdr:row>
      <xdr:rowOff>99060</xdr:rowOff>
    </xdr:to>
    <xdr:graphicFrame macro="">
      <xdr:nvGraphicFramePr>
        <xdr:cNvPr id="8124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7620</xdr:colOff>
      <xdr:row>122</xdr:row>
      <xdr:rowOff>7620</xdr:rowOff>
    </xdr:to>
    <xdr:pic>
      <xdr:nvPicPr>
        <xdr:cNvPr id="812460" name="Picture 1" descr="Screen Clippi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6034980"/>
          <a:ext cx="7620" cy="7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theme="1" tint="0.499984740745262"/>
  </sheetPr>
  <dimension ref="A1:K42"/>
  <sheetViews>
    <sheetView view="pageBreakPreview" zoomScale="60" zoomScaleNormal="68" workbookViewId="0">
      <selection activeCell="I32" sqref="I32"/>
    </sheetView>
  </sheetViews>
  <sheetFormatPr defaultRowHeight="15"/>
  <cols>
    <col min="6" max="6" width="10.90625" customWidth="1"/>
    <col min="7" max="7" width="10.81640625" customWidth="1"/>
  </cols>
  <sheetData>
    <row r="1" spans="1:11" ht="17.399999999999999">
      <c r="A1" s="1053" t="s">
        <v>802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5"/>
    </row>
    <row r="2" spans="1:11">
      <c r="A2" s="1056"/>
      <c r="B2" s="1057" t="s">
        <v>350</v>
      </c>
      <c r="C2" s="1057"/>
      <c r="D2" s="1057"/>
      <c r="E2" s="1057"/>
      <c r="F2" s="1057"/>
      <c r="G2" s="1057"/>
      <c r="H2" s="1057"/>
      <c r="I2" s="1057"/>
      <c r="J2" s="1057"/>
      <c r="K2" s="1058"/>
    </row>
    <row r="3" spans="1:11" ht="25.8">
      <c r="A3" s="1059" t="s">
        <v>806</v>
      </c>
      <c r="B3" s="1060"/>
      <c r="C3" s="1060"/>
      <c r="D3" s="1060"/>
      <c r="E3" s="1060"/>
      <c r="F3" s="1061" t="s">
        <v>803</v>
      </c>
      <c r="G3" s="1060"/>
      <c r="H3" s="1060"/>
      <c r="I3" s="1062"/>
      <c r="J3" s="1062"/>
      <c r="K3" s="1063"/>
    </row>
    <row r="4" spans="1:11">
      <c r="A4" s="1064"/>
      <c r="B4" s="1057"/>
      <c r="C4" s="1057"/>
      <c r="D4" s="1057"/>
      <c r="E4" s="1065"/>
      <c r="F4" s="1057"/>
      <c r="G4" s="1057"/>
      <c r="H4" s="1057"/>
      <c r="I4" s="1057"/>
      <c r="J4" s="1057"/>
      <c r="K4" s="1058"/>
    </row>
    <row r="5" spans="1:11">
      <c r="A5" s="1056"/>
      <c r="B5" s="1057"/>
      <c r="C5" s="1057"/>
      <c r="D5" s="1057"/>
      <c r="E5" s="1057"/>
      <c r="F5" s="1057"/>
      <c r="G5" s="1057"/>
      <c r="H5" s="1057"/>
      <c r="I5" s="1057"/>
      <c r="J5" s="1057"/>
      <c r="K5" s="1058"/>
    </row>
    <row r="6" spans="1:11">
      <c r="A6" s="1066" t="s">
        <v>807</v>
      </c>
      <c r="B6" s="1057"/>
      <c r="C6" s="1057"/>
      <c r="D6" s="1057"/>
      <c r="E6" s="1057"/>
      <c r="F6" s="1057"/>
      <c r="G6" s="1057"/>
      <c r="H6" s="1057"/>
      <c r="I6" s="1057"/>
      <c r="J6" s="1057"/>
      <c r="K6" s="1058"/>
    </row>
    <row r="7" spans="1:11">
      <c r="A7" s="1056" t="s">
        <v>804</v>
      </c>
      <c r="B7" s="1057"/>
      <c r="C7" s="1057"/>
      <c r="D7" s="1057"/>
      <c r="E7" s="1057"/>
      <c r="F7" s="1057"/>
      <c r="G7" s="1057"/>
      <c r="H7" s="1057"/>
      <c r="I7" s="1057"/>
      <c r="J7" s="1057"/>
      <c r="K7" s="1058"/>
    </row>
    <row r="8" spans="1:11">
      <c r="A8" s="1066" t="s">
        <v>808</v>
      </c>
      <c r="B8" s="1057"/>
      <c r="C8" s="1057"/>
      <c r="D8" s="1057"/>
      <c r="E8" s="1057"/>
      <c r="F8" s="1057"/>
      <c r="G8" s="1057"/>
      <c r="H8" s="1057"/>
      <c r="I8" s="1057"/>
      <c r="J8" s="1057"/>
      <c r="K8" s="1058"/>
    </row>
    <row r="9" spans="1:11">
      <c r="A9" s="1056"/>
      <c r="B9" s="1057"/>
      <c r="C9" s="1057"/>
      <c r="D9" s="1057"/>
      <c r="E9" s="1057"/>
      <c r="F9" s="1057"/>
      <c r="G9" s="1057"/>
      <c r="H9" s="1057"/>
      <c r="I9" s="1057"/>
      <c r="J9" s="1057"/>
      <c r="K9" s="1058"/>
    </row>
    <row r="10" spans="1:11">
      <c r="A10" s="1056"/>
      <c r="B10" s="1067"/>
      <c r="C10" s="1057"/>
      <c r="D10" s="1057"/>
      <c r="E10" s="1057"/>
      <c r="F10" s="1057"/>
      <c r="G10" s="1057"/>
      <c r="H10" s="1057"/>
      <c r="I10" s="1057"/>
      <c r="J10" s="1057"/>
      <c r="K10" s="1058"/>
    </row>
    <row r="11" spans="1:11" ht="17.399999999999999">
      <c r="A11" s="1064"/>
      <c r="B11" s="1065"/>
      <c r="C11" s="1068" t="s">
        <v>805</v>
      </c>
      <c r="D11" s="1069"/>
      <c r="E11" s="1070"/>
      <c r="F11" s="1070"/>
      <c r="G11" s="1070"/>
      <c r="H11" s="1057"/>
      <c r="I11" s="1057"/>
      <c r="J11" s="1057"/>
      <c r="K11" s="1058"/>
    </row>
    <row r="12" spans="1:11" ht="15.6">
      <c r="A12" s="1064"/>
      <c r="B12" s="1065"/>
      <c r="C12" s="1065"/>
      <c r="D12" s="1069"/>
      <c r="E12" s="1070"/>
      <c r="F12" s="1071" t="s">
        <v>809</v>
      </c>
      <c r="G12" s="1070"/>
      <c r="H12" s="1057"/>
      <c r="I12" s="1057"/>
      <c r="J12" s="1057"/>
      <c r="K12" s="1058"/>
    </row>
    <row r="13" spans="1:11">
      <c r="A13" s="1064"/>
      <c r="B13" s="1065"/>
      <c r="C13" s="1065"/>
      <c r="D13" s="1069"/>
      <c r="E13" s="1070"/>
      <c r="F13" s="1070"/>
      <c r="G13" s="1070"/>
      <c r="H13" s="1057"/>
      <c r="I13" s="1057"/>
      <c r="J13" s="1057"/>
      <c r="K13" s="1058"/>
    </row>
    <row r="14" spans="1:11">
      <c r="A14" s="1064"/>
      <c r="B14" s="1065"/>
      <c r="C14" s="1065"/>
      <c r="D14" s="1069"/>
      <c r="E14" s="1065"/>
      <c r="F14" s="1065"/>
      <c r="G14" s="1065"/>
      <c r="H14" s="1057"/>
      <c r="I14" s="1057"/>
      <c r="J14" s="1057"/>
      <c r="K14" s="1058"/>
    </row>
    <row r="15" spans="1:11">
      <c r="A15" s="1064"/>
      <c r="B15" s="1065"/>
      <c r="C15" s="1065"/>
      <c r="D15" s="1069"/>
      <c r="E15" s="1065"/>
      <c r="F15" s="1065"/>
      <c r="G15" s="1065"/>
      <c r="H15" s="1057"/>
      <c r="I15" s="1057"/>
      <c r="J15" s="1057"/>
      <c r="K15" s="1058"/>
    </row>
    <row r="16" spans="1:11">
      <c r="A16" s="1064"/>
      <c r="B16" s="1065"/>
      <c r="C16" s="1065"/>
      <c r="D16" s="1069"/>
      <c r="E16" s="1072"/>
      <c r="F16" s="1072"/>
      <c r="G16" s="1072"/>
      <c r="H16" s="1057"/>
      <c r="I16" s="1057"/>
      <c r="J16" s="1057"/>
      <c r="K16" s="1058"/>
    </row>
    <row r="17" spans="1:11" ht="15.6">
      <c r="A17" s="1064"/>
      <c r="B17" s="1065"/>
      <c r="C17" s="1065"/>
      <c r="D17" s="1069"/>
      <c r="E17" s="1073"/>
      <c r="F17" s="1074" t="s">
        <v>824</v>
      </c>
      <c r="G17" s="1075"/>
      <c r="H17" s="1057"/>
      <c r="I17" s="1057"/>
      <c r="J17" s="1057"/>
      <c r="K17" s="1058"/>
    </row>
    <row r="18" spans="1:11">
      <c r="A18" s="1064"/>
      <c r="B18" s="1065"/>
      <c r="C18" s="1065"/>
      <c r="D18" s="1069"/>
      <c r="E18" s="1072"/>
      <c r="F18" s="1072"/>
      <c r="G18" s="1072"/>
      <c r="H18" s="1057"/>
      <c r="I18" s="1057"/>
      <c r="J18" s="1057"/>
      <c r="K18" s="1058"/>
    </row>
    <row r="19" spans="1:11">
      <c r="A19" s="1064"/>
      <c r="B19" s="1065"/>
      <c r="C19" s="1065"/>
      <c r="D19" s="1069"/>
      <c r="E19" s="1065"/>
      <c r="F19" s="1065"/>
      <c r="G19" s="1065"/>
      <c r="H19" s="1057"/>
      <c r="I19" s="1057"/>
      <c r="J19" s="1057"/>
      <c r="K19" s="1058"/>
    </row>
    <row r="20" spans="1:11">
      <c r="A20" s="1064"/>
      <c r="B20" s="1065"/>
      <c r="C20" s="1065"/>
      <c r="D20" s="1069"/>
      <c r="E20" s="1065"/>
      <c r="F20" s="1065"/>
      <c r="G20" s="1065"/>
      <c r="H20" s="1057"/>
      <c r="I20" s="1057"/>
      <c r="J20" s="1057"/>
      <c r="K20" s="1058"/>
    </row>
    <row r="21" spans="1:11">
      <c r="A21" s="1064"/>
      <c r="B21" s="1065"/>
      <c r="C21" s="1065"/>
      <c r="D21" s="1069"/>
      <c r="E21" s="1097"/>
      <c r="F21" s="1097"/>
      <c r="G21" s="1097"/>
      <c r="H21" s="1057"/>
      <c r="I21" s="1057"/>
      <c r="J21" s="1057"/>
      <c r="K21" s="1058"/>
    </row>
    <row r="22" spans="1:11" ht="15.6">
      <c r="A22" s="1064"/>
      <c r="B22" s="1065"/>
      <c r="C22" s="1065"/>
      <c r="D22" s="1069"/>
      <c r="E22" s="1073"/>
      <c r="F22" s="1074"/>
      <c r="G22" s="1075"/>
      <c r="H22" s="1057"/>
      <c r="I22" s="1057"/>
      <c r="J22" s="1057"/>
      <c r="K22" s="1058"/>
    </row>
    <row r="23" spans="1:11">
      <c r="A23" s="1064"/>
      <c r="B23" s="1065"/>
      <c r="C23" s="1065"/>
      <c r="D23" s="1069"/>
      <c r="E23" s="1097"/>
      <c r="F23" s="1097"/>
      <c r="G23" s="1097"/>
      <c r="H23" s="1057"/>
      <c r="I23" s="1057"/>
      <c r="J23" s="1057"/>
      <c r="K23" s="1058"/>
    </row>
    <row r="24" spans="1:11">
      <c r="A24" s="1064"/>
      <c r="B24" s="1065"/>
      <c r="C24" s="1065"/>
      <c r="D24" s="1069"/>
      <c r="E24" s="1065"/>
      <c r="F24" s="1065"/>
      <c r="G24" s="1065"/>
      <c r="H24" s="1057"/>
      <c r="I24" s="1057"/>
      <c r="J24" s="1057"/>
      <c r="K24" s="1058"/>
    </row>
    <row r="25" spans="1:11">
      <c r="A25" s="1064"/>
      <c r="B25" s="1065"/>
      <c r="C25" s="1065"/>
      <c r="D25" s="1069"/>
      <c r="E25" s="1065"/>
      <c r="F25" s="1065"/>
      <c r="G25" s="1065"/>
      <c r="H25" s="1057"/>
      <c r="I25" s="1057"/>
      <c r="J25" s="1057"/>
      <c r="K25" s="1058"/>
    </row>
    <row r="26" spans="1:11">
      <c r="A26" s="1064"/>
      <c r="B26" s="1065"/>
      <c r="C26" s="1065"/>
      <c r="D26" s="1069"/>
      <c r="E26" s="1076"/>
      <c r="F26" s="1076"/>
      <c r="G26" s="1076"/>
      <c r="H26" s="1057"/>
      <c r="I26" s="1057"/>
      <c r="J26" s="1057"/>
      <c r="K26" s="1058"/>
    </row>
    <row r="27" spans="1:11" ht="15.6">
      <c r="A27" s="1064"/>
      <c r="B27" s="1065"/>
      <c r="C27" s="1065"/>
      <c r="D27" s="1069"/>
      <c r="E27" s="1076"/>
      <c r="F27" s="1077"/>
      <c r="G27" s="1076"/>
      <c r="H27" s="1057"/>
      <c r="I27" s="1057"/>
      <c r="J27" s="1057"/>
      <c r="K27" s="1058"/>
    </row>
    <row r="28" spans="1:11">
      <c r="A28" s="1064"/>
      <c r="B28" s="1065"/>
      <c r="C28" s="1065"/>
      <c r="D28" s="1069"/>
      <c r="E28" s="1076"/>
      <c r="F28" s="1076"/>
      <c r="G28" s="1076"/>
      <c r="H28" s="1057"/>
      <c r="I28" s="1057"/>
      <c r="J28" s="1057"/>
      <c r="K28" s="1058"/>
    </row>
    <row r="29" spans="1:11">
      <c r="A29" s="1064"/>
      <c r="B29" s="1065"/>
      <c r="C29" s="1065"/>
      <c r="D29" s="1065"/>
      <c r="E29" s="1065"/>
      <c r="F29" s="1065"/>
      <c r="G29" s="1057"/>
      <c r="H29" s="1057"/>
      <c r="I29" s="1057"/>
      <c r="J29" s="1057"/>
      <c r="K29" s="1058"/>
    </row>
    <row r="30" spans="1:11">
      <c r="A30" s="1064"/>
      <c r="B30" s="1065"/>
      <c r="C30" s="1065"/>
      <c r="D30" s="1065"/>
      <c r="E30" s="1065"/>
      <c r="F30" s="1065"/>
      <c r="G30" s="1057"/>
      <c r="H30" s="1057"/>
      <c r="I30" s="1057"/>
      <c r="J30" s="1057"/>
      <c r="K30" s="1058"/>
    </row>
    <row r="31" spans="1:11">
      <c r="A31" s="1056"/>
      <c r="B31" s="1057"/>
      <c r="C31" s="1057"/>
      <c r="D31" s="1057"/>
      <c r="E31" s="1078"/>
      <c r="F31" s="1078"/>
      <c r="G31" s="1078"/>
      <c r="H31" s="1057"/>
      <c r="I31" s="1057"/>
      <c r="J31" s="1057"/>
      <c r="K31" s="1058"/>
    </row>
    <row r="32" spans="1:11" ht="15.6">
      <c r="A32" s="1079"/>
      <c r="B32" s="1069"/>
      <c r="C32" s="1069"/>
      <c r="D32" s="1069"/>
      <c r="E32" s="1078"/>
      <c r="F32" s="1080"/>
      <c r="G32" s="1078"/>
      <c r="H32" s="1069"/>
      <c r="I32" s="1069"/>
      <c r="J32" s="1069"/>
      <c r="K32" s="1081"/>
    </row>
    <row r="33" spans="1:11">
      <c r="A33" s="1079"/>
      <c r="B33" s="1069"/>
      <c r="C33" s="1069"/>
      <c r="D33" s="1069"/>
      <c r="E33" s="1078"/>
      <c r="F33" s="1078"/>
      <c r="G33" s="1078"/>
      <c r="H33" s="1069"/>
      <c r="I33" s="1069"/>
      <c r="J33" s="1069"/>
      <c r="K33" s="1081"/>
    </row>
    <row r="34" spans="1:11">
      <c r="A34" s="1079"/>
      <c r="B34" s="1069"/>
      <c r="C34" s="1069"/>
      <c r="D34" s="1069"/>
      <c r="E34" s="1069"/>
      <c r="F34" s="1069"/>
      <c r="G34" s="1069"/>
      <c r="H34" s="1069"/>
      <c r="I34" s="1069"/>
      <c r="J34" s="1069"/>
      <c r="K34" s="1081"/>
    </row>
    <row r="35" spans="1:11">
      <c r="A35" s="1079"/>
      <c r="B35" s="1069"/>
      <c r="C35" s="1069"/>
      <c r="D35" s="1069"/>
      <c r="E35" s="1069"/>
      <c r="F35" s="1069"/>
      <c r="G35" s="1069"/>
      <c r="H35" s="1069"/>
      <c r="I35" s="1069"/>
      <c r="J35" s="1069"/>
      <c r="K35" s="1081"/>
    </row>
    <row r="36" spans="1:11">
      <c r="A36" s="1079"/>
      <c r="B36" s="1069"/>
      <c r="C36" s="1069"/>
      <c r="D36" s="1069"/>
      <c r="E36" s="1069"/>
      <c r="F36" s="1069"/>
      <c r="G36" s="1069"/>
      <c r="H36" s="1069"/>
      <c r="I36" s="1069"/>
      <c r="J36" s="1069"/>
      <c r="K36" s="1081"/>
    </row>
    <row r="37" spans="1:11">
      <c r="A37" s="1079"/>
      <c r="B37" s="1069"/>
      <c r="C37" s="1069"/>
      <c r="D37" s="1069"/>
      <c r="E37" s="1069"/>
      <c r="F37" s="1069"/>
      <c r="G37" s="1069"/>
      <c r="H37" s="1069"/>
      <c r="I37" s="1069"/>
      <c r="J37" s="1069"/>
      <c r="K37" s="1081"/>
    </row>
    <row r="38" spans="1:11">
      <c r="A38" s="1079"/>
      <c r="B38" s="1069"/>
      <c r="C38" s="1069"/>
      <c r="D38" s="1069"/>
      <c r="E38" s="1069"/>
      <c r="F38" s="1069"/>
      <c r="G38" s="1069"/>
      <c r="H38" s="1069"/>
      <c r="I38" s="1069"/>
      <c r="J38" s="1069"/>
      <c r="K38" s="1081"/>
    </row>
    <row r="39" spans="1:11">
      <c r="A39" s="1079"/>
      <c r="B39" s="1069"/>
      <c r="C39" s="1069"/>
      <c r="D39" s="1069"/>
      <c r="E39" s="1069"/>
      <c r="F39" s="1069"/>
      <c r="G39" s="1069"/>
      <c r="H39" s="1069"/>
      <c r="I39" s="1069"/>
      <c r="J39" s="1069"/>
      <c r="K39" s="1081"/>
    </row>
    <row r="40" spans="1:11">
      <c r="A40" s="1079"/>
      <c r="B40" s="1069"/>
      <c r="C40" s="1069"/>
      <c r="D40" s="1069"/>
      <c r="E40" s="1069"/>
      <c r="F40" s="1069"/>
      <c r="G40" s="1069"/>
      <c r="H40" s="1069"/>
      <c r="I40" s="1069"/>
      <c r="J40" s="1069"/>
      <c r="K40" s="1081"/>
    </row>
    <row r="41" spans="1:11">
      <c r="A41" s="1079"/>
      <c r="B41" s="1069"/>
      <c r="C41" s="1069"/>
      <c r="D41" s="1069"/>
      <c r="E41" s="1069"/>
      <c r="F41" s="1069"/>
      <c r="G41" s="1069"/>
      <c r="H41" s="1069"/>
      <c r="I41" s="1069"/>
      <c r="J41" s="1069"/>
      <c r="K41" s="1081"/>
    </row>
    <row r="42" spans="1:11" ht="15.6" thickBot="1">
      <c r="A42" s="1082"/>
      <c r="B42" s="1083"/>
      <c r="C42" s="1083"/>
      <c r="D42" s="1083"/>
      <c r="E42" s="1083"/>
      <c r="F42" s="1083"/>
      <c r="G42" s="1083"/>
      <c r="H42" s="1083"/>
      <c r="I42" s="1083"/>
      <c r="J42" s="1083"/>
      <c r="K42" s="1084"/>
    </row>
  </sheetData>
  <phoneticPr fontId="0" type="noConversion"/>
  <pageMargins left="0.7" right="0.7" top="0.75" bottom="0.75" header="0.3" footer="0.3"/>
  <pageSetup paperSize="9"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:R242"/>
  <sheetViews>
    <sheetView topLeftCell="A64" zoomScale="75" zoomScaleNormal="75" workbookViewId="0">
      <selection activeCell="G103" sqref="G103"/>
    </sheetView>
  </sheetViews>
  <sheetFormatPr defaultRowHeight="15"/>
  <cols>
    <col min="2" max="2" width="22.81640625" customWidth="1"/>
    <col min="3" max="3" width="18" customWidth="1"/>
    <col min="4" max="4" width="17.1796875" customWidth="1"/>
    <col min="5" max="5" width="20.1796875" customWidth="1"/>
    <col min="6" max="6" width="19.08984375" customWidth="1"/>
    <col min="7" max="7" width="18.90625" customWidth="1"/>
    <col min="8" max="8" width="19.81640625" customWidth="1"/>
    <col min="9" max="9" width="19.1796875" customWidth="1"/>
    <col min="10" max="10" width="14" customWidth="1"/>
    <col min="11" max="11" width="11.81640625" customWidth="1"/>
    <col min="12" max="12" width="13" bestFit="1" customWidth="1"/>
    <col min="13" max="13" width="11.6328125" customWidth="1"/>
    <col min="14" max="14" width="13.6328125" customWidth="1"/>
    <col min="15" max="16" width="11.36328125" customWidth="1"/>
    <col min="17" max="17" width="13" customWidth="1"/>
    <col min="18" max="18" width="12.08984375" customWidth="1"/>
  </cols>
  <sheetData>
    <row r="1" spans="1:18" ht="24.6">
      <c r="A1" s="1542" t="s">
        <v>684</v>
      </c>
      <c r="B1" s="1543"/>
      <c r="C1" s="1543"/>
      <c r="D1" s="1543"/>
      <c r="E1" s="154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28.2">
      <c r="B2" s="108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8" ht="24.6">
      <c r="A3" s="1544" t="s">
        <v>353</v>
      </c>
      <c r="B3" s="1543"/>
      <c r="C3" s="1543"/>
      <c r="D3" s="1543"/>
      <c r="E3" s="1543"/>
      <c r="F3" s="1543"/>
      <c r="G3" s="110"/>
      <c r="H3" s="109"/>
      <c r="I3" s="111"/>
      <c r="J3" s="112"/>
      <c r="K3" s="111"/>
      <c r="L3" s="111"/>
      <c r="M3" s="111"/>
      <c r="N3" s="111"/>
      <c r="O3" s="113"/>
      <c r="P3" s="114"/>
      <c r="Q3" s="114"/>
      <c r="R3" s="1256"/>
    </row>
    <row r="4" spans="1:18">
      <c r="A4" s="1"/>
      <c r="B4" s="1"/>
      <c r="C4" s="1"/>
      <c r="D4" s="1"/>
      <c r="E4" s="8"/>
      <c r="F4" s="1"/>
      <c r="G4" s="1"/>
      <c r="H4" s="1"/>
      <c r="I4" s="1"/>
      <c r="J4" s="1"/>
      <c r="K4" s="1"/>
      <c r="L4" s="1"/>
      <c r="M4" s="4"/>
      <c r="N4" s="4"/>
      <c r="O4" s="4"/>
      <c r="P4" s="4"/>
      <c r="Q4" s="4"/>
    </row>
    <row r="5" spans="1:18" ht="24.6">
      <c r="A5" s="1"/>
      <c r="B5" s="1"/>
      <c r="C5" s="1"/>
      <c r="D5" s="9" t="s">
        <v>354</v>
      </c>
      <c r="E5" s="6"/>
      <c r="F5" s="10" t="s">
        <v>594</v>
      </c>
      <c r="G5" s="6"/>
      <c r="I5" s="11"/>
      <c r="J5" s="11"/>
      <c r="K5" s="11"/>
      <c r="L5" s="11"/>
      <c r="M5" s="12"/>
      <c r="N5" s="12"/>
      <c r="O5" s="12"/>
      <c r="P5" s="12"/>
      <c r="Q5" s="12"/>
    </row>
    <row r="6" spans="1:18" ht="19.2">
      <c r="A6" s="1"/>
      <c r="B6" s="1"/>
      <c r="C6" s="1"/>
      <c r="D6" s="9"/>
      <c r="E6" s="6"/>
      <c r="F6" s="6"/>
      <c r="G6" s="6"/>
      <c r="H6" s="13"/>
      <c r="I6" s="14"/>
      <c r="J6" s="14"/>
      <c r="K6" s="14"/>
      <c r="L6" s="15"/>
      <c r="M6" s="12"/>
      <c r="N6" s="12"/>
      <c r="O6" s="12"/>
      <c r="P6" s="12"/>
      <c r="Q6" s="12"/>
    </row>
    <row r="7" spans="1:18" ht="20.399999999999999">
      <c r="A7" s="1"/>
      <c r="B7" s="1"/>
      <c r="C7" s="1"/>
      <c r="D7" s="9" t="s">
        <v>355</v>
      </c>
      <c r="E7" s="116">
        <f ca="1">TODAY()</f>
        <v>42149</v>
      </c>
      <c r="F7" s="6"/>
      <c r="G7" s="6"/>
      <c r="I7" s="14"/>
      <c r="J7" s="14"/>
      <c r="K7" s="14"/>
      <c r="L7" s="15"/>
      <c r="M7" s="12"/>
      <c r="N7" s="12"/>
      <c r="O7" s="12"/>
      <c r="P7" s="12"/>
      <c r="Q7" s="12"/>
    </row>
    <row r="8" spans="1:18">
      <c r="A8" s="1"/>
      <c r="B8" s="1"/>
      <c r="C8" s="1"/>
      <c r="D8" s="7"/>
      <c r="E8" s="6"/>
      <c r="F8" s="6"/>
      <c r="G8" s="6"/>
      <c r="H8" s="6"/>
      <c r="I8" s="6"/>
      <c r="J8" s="6"/>
      <c r="K8" s="6"/>
      <c r="L8" s="6"/>
      <c r="M8" s="12"/>
      <c r="N8" s="12"/>
      <c r="O8" s="12"/>
      <c r="P8" s="12"/>
      <c r="Q8" s="12"/>
    </row>
    <row r="9" spans="1:18" ht="22.2">
      <c r="A9" s="1"/>
      <c r="B9" s="1"/>
      <c r="C9" s="1"/>
      <c r="D9" s="5" t="s">
        <v>356</v>
      </c>
      <c r="E9" s="16" t="s">
        <v>357</v>
      </c>
      <c r="F9" s="1"/>
      <c r="G9" s="1"/>
      <c r="H9" s="1"/>
      <c r="I9" s="1"/>
      <c r="J9" s="1"/>
      <c r="K9" s="1"/>
      <c r="L9" s="1"/>
      <c r="M9" s="4"/>
      <c r="N9" s="4"/>
      <c r="O9" s="4"/>
      <c r="P9" s="4"/>
      <c r="Q9" s="4"/>
    </row>
    <row r="10" spans="1:18" ht="22.8" thickBot="1">
      <c r="A10" s="1"/>
      <c r="B10" s="1"/>
      <c r="C10" s="1"/>
      <c r="D10" s="5"/>
      <c r="E10" s="16"/>
      <c r="F10" s="1"/>
      <c r="G10" s="1"/>
      <c r="H10" s="1"/>
      <c r="I10" s="1"/>
      <c r="J10" s="1"/>
      <c r="K10" s="1"/>
      <c r="L10" s="1"/>
      <c r="M10" s="4"/>
      <c r="N10" s="4"/>
      <c r="O10" s="4"/>
      <c r="P10" s="4"/>
      <c r="Q10" s="4"/>
    </row>
    <row r="11" spans="1:18" ht="22.8" thickBot="1">
      <c r="A11" s="476" t="s">
        <v>399</v>
      </c>
      <c r="B11" s="1"/>
      <c r="C11" s="515">
        <v>360</v>
      </c>
      <c r="D11" s="5"/>
      <c r="E11" s="16"/>
      <c r="F11" s="1"/>
      <c r="G11" s="1"/>
      <c r="H11" s="1"/>
      <c r="I11" s="1"/>
      <c r="J11" s="1"/>
      <c r="K11" s="1"/>
      <c r="L11" s="1"/>
      <c r="M11" s="4"/>
      <c r="N11" s="4"/>
      <c r="O11" s="4"/>
      <c r="P11" s="4"/>
      <c r="Q11" s="4"/>
    </row>
    <row r="12" spans="1:18" ht="22.8" thickBot="1">
      <c r="A12" s="476"/>
      <c r="B12" s="1"/>
      <c r="C12" s="503"/>
      <c r="D12" s="5"/>
      <c r="E12" s="16"/>
      <c r="F12" s="1"/>
      <c r="G12" s="1"/>
      <c r="H12" s="1"/>
      <c r="I12" s="1"/>
      <c r="J12" s="1"/>
      <c r="K12" s="1"/>
      <c r="L12" s="1"/>
      <c r="M12" s="4"/>
      <c r="N12" s="4"/>
      <c r="O12" s="4"/>
      <c r="P12" s="4"/>
      <c r="Q12" s="4"/>
    </row>
    <row r="13" spans="1:18" ht="22.8" thickBot="1">
      <c r="A13" s="476" t="s">
        <v>604</v>
      </c>
      <c r="B13" s="1"/>
      <c r="C13" s="516" t="s">
        <v>605</v>
      </c>
      <c r="D13" s="5"/>
      <c r="E13" s="16"/>
      <c r="F13" s="1"/>
      <c r="G13" s="1"/>
      <c r="H13" s="1"/>
      <c r="I13" s="1"/>
      <c r="J13" s="1"/>
      <c r="K13" s="1"/>
      <c r="L13" s="1"/>
      <c r="M13" s="4"/>
      <c r="N13" s="4"/>
      <c r="O13" s="4"/>
      <c r="P13" s="4"/>
      <c r="Q13" s="4"/>
    </row>
    <row r="14" spans="1:18" ht="22.2">
      <c r="B14" s="1"/>
      <c r="C14" s="1"/>
      <c r="D14" s="1"/>
      <c r="E14" s="5"/>
      <c r="F14" s="16"/>
      <c r="G14" s="1"/>
      <c r="H14" s="1"/>
      <c r="I14" s="1"/>
      <c r="J14" s="1"/>
      <c r="K14" s="1"/>
      <c r="L14" s="1"/>
      <c r="M14" s="1"/>
      <c r="N14" s="4"/>
      <c r="O14" s="4"/>
      <c r="P14" s="4"/>
      <c r="Q14" s="4"/>
    </row>
    <row r="15" spans="1:18" ht="22.8">
      <c r="A15" s="1087" t="s">
        <v>358</v>
      </c>
      <c r="B15" s="1088"/>
      <c r="C15" s="1"/>
      <c r="E15" s="1"/>
      <c r="F15" s="1"/>
      <c r="G15" s="1"/>
      <c r="H15" s="1"/>
      <c r="I15" s="1"/>
      <c r="J15" s="1"/>
      <c r="K15" s="1"/>
      <c r="M15" s="1"/>
      <c r="N15" s="1"/>
      <c r="O15" s="1"/>
      <c r="P15" s="1"/>
      <c r="Q15" s="1"/>
    </row>
    <row r="16" spans="1:18" ht="15.6" thickBo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N16" s="1"/>
      <c r="O16" s="1"/>
      <c r="P16" s="1"/>
      <c r="Q16" s="1"/>
    </row>
    <row r="17" spans="1:18" ht="15.6" thickTop="1">
      <c r="A17" s="115" t="s">
        <v>587</v>
      </c>
      <c r="B17" s="568" t="s">
        <v>823</v>
      </c>
      <c r="C17" s="20" t="s">
        <v>359</v>
      </c>
      <c r="D17" s="140" t="s">
        <v>360</v>
      </c>
      <c r="E17" s="465" t="s">
        <v>588</v>
      </c>
      <c r="F17" s="473" t="s">
        <v>589</v>
      </c>
      <c r="G17" s="1527" t="s">
        <v>10</v>
      </c>
      <c r="H17" s="1528"/>
      <c r="I17" s="1529"/>
      <c r="J17" s="115" t="s">
        <v>12</v>
      </c>
      <c r="K17" s="21"/>
      <c r="L17" s="475"/>
      <c r="M17" s="127"/>
      <c r="N17" s="489"/>
      <c r="O17" s="100"/>
      <c r="P17" s="490"/>
      <c r="Q17" s="490"/>
    </row>
    <row r="18" spans="1:18" ht="15.6" thickBot="1">
      <c r="A18" s="23"/>
      <c r="B18" s="138"/>
      <c r="C18" s="23"/>
      <c r="D18" s="102"/>
      <c r="E18" s="23"/>
      <c r="F18" s="102"/>
      <c r="G18" s="1535" t="s">
        <v>11</v>
      </c>
      <c r="H18" s="1536"/>
      <c r="I18" s="1537"/>
      <c r="J18" s="22"/>
      <c r="K18" s="100" t="s">
        <v>361</v>
      </c>
      <c r="L18" s="470"/>
      <c r="M18" s="100"/>
      <c r="N18" s="103"/>
      <c r="O18" s="100"/>
      <c r="P18" s="133"/>
      <c r="Q18" s="103"/>
    </row>
    <row r="19" spans="1:18" ht="16.2" thickTop="1" thickBot="1">
      <c r="A19" s="24"/>
      <c r="B19" s="138"/>
      <c r="C19" s="23"/>
      <c r="D19" s="102"/>
      <c r="E19" s="23"/>
      <c r="F19" s="102"/>
      <c r="G19" s="115" t="s">
        <v>541</v>
      </c>
      <c r="H19" s="115" t="s">
        <v>542</v>
      </c>
      <c r="I19" s="115" t="s">
        <v>543</v>
      </c>
      <c r="J19" s="115" t="s">
        <v>541</v>
      </c>
      <c r="K19" s="115" t="s">
        <v>542</v>
      </c>
      <c r="L19" s="136" t="s">
        <v>543</v>
      </c>
      <c r="M19" s="100"/>
      <c r="N19" s="142"/>
      <c r="O19" s="100"/>
      <c r="P19" s="300"/>
      <c r="Q19" s="386"/>
    </row>
    <row r="20" spans="1:18" ht="21.6" thickTop="1" thickBot="1">
      <c r="A20" s="469"/>
      <c r="B20" s="472"/>
      <c r="C20" s="471"/>
      <c r="D20" s="472"/>
      <c r="E20" s="20"/>
      <c r="F20" s="140"/>
      <c r="G20" s="20"/>
      <c r="H20" s="115"/>
      <c r="I20" s="115"/>
      <c r="J20" s="20"/>
      <c r="K20" s="115"/>
      <c r="L20" s="134"/>
      <c r="M20" s="100"/>
      <c r="N20" s="100"/>
      <c r="O20" s="100"/>
      <c r="P20" s="100"/>
      <c r="Q20" s="103"/>
    </row>
    <row r="21" spans="1:18" ht="21.6" thickTop="1">
      <c r="A21" s="1358">
        <v>1</v>
      </c>
      <c r="B21" s="1359">
        <v>1.1000000000000001</v>
      </c>
      <c r="C21" s="1360" t="s">
        <v>583</v>
      </c>
      <c r="D21" s="1361" t="s">
        <v>584</v>
      </c>
      <c r="E21" s="1362">
        <v>73</v>
      </c>
      <c r="F21" s="1363">
        <f>+E21*2.1</f>
        <v>153.30000000000001</v>
      </c>
      <c r="G21" s="1364">
        <f>+E21/140</f>
        <v>0.52142857142857146</v>
      </c>
      <c r="H21" s="1365">
        <f>+E21/60</f>
        <v>1.2166666666666666</v>
      </c>
      <c r="I21" s="1365">
        <f>+E21/45</f>
        <v>1.6222222222222222</v>
      </c>
      <c r="J21" s="1366">
        <f>+E21/G21</f>
        <v>140</v>
      </c>
      <c r="K21" s="1366">
        <f>+E21/H21</f>
        <v>60.000000000000007</v>
      </c>
      <c r="L21" s="1367">
        <f>+E21/I21</f>
        <v>45</v>
      </c>
      <c r="M21" s="494"/>
      <c r="N21" s="494"/>
      <c r="O21" s="495"/>
      <c r="P21" s="494"/>
      <c r="Q21" s="386"/>
    </row>
    <row r="22" spans="1:18" ht="21">
      <c r="A22" s="1368">
        <v>1</v>
      </c>
      <c r="B22" s="1369">
        <v>1.2</v>
      </c>
      <c r="C22" s="1370" t="s">
        <v>584</v>
      </c>
      <c r="D22" s="1371" t="s">
        <v>590</v>
      </c>
      <c r="E22" s="1372">
        <v>65</v>
      </c>
      <c r="F22" s="1373">
        <f>+E22*2.1</f>
        <v>136.5</v>
      </c>
      <c r="G22" s="1374">
        <f>+E22/140</f>
        <v>0.4642857142857143</v>
      </c>
      <c r="H22" s="1375">
        <f>+E22/60</f>
        <v>1.0833333333333333</v>
      </c>
      <c r="I22" s="1374">
        <f>+E22/45</f>
        <v>1.4444444444444444</v>
      </c>
      <c r="J22" s="1376">
        <f>+E22/G22</f>
        <v>140</v>
      </c>
      <c r="K22" s="1376">
        <f>+E22/H22</f>
        <v>60.000000000000007</v>
      </c>
      <c r="L22" s="1376">
        <f>+E22/I22</f>
        <v>45</v>
      </c>
      <c r="M22" s="494"/>
      <c r="N22" s="494"/>
      <c r="O22" s="495"/>
      <c r="P22" s="494"/>
      <c r="Q22" s="386"/>
    </row>
    <row r="23" spans="1:18" ht="21">
      <c r="A23" s="1368">
        <v>1</v>
      </c>
      <c r="B23" s="1369">
        <v>1.3</v>
      </c>
      <c r="C23" s="1377" t="s">
        <v>590</v>
      </c>
      <c r="D23" s="1371" t="s">
        <v>591</v>
      </c>
      <c r="E23" s="1372">
        <v>155</v>
      </c>
      <c r="F23" s="1373">
        <f>+E23*1.2</f>
        <v>186</v>
      </c>
      <c r="G23" s="1374">
        <f>+E23/140</f>
        <v>1.1071428571428572</v>
      </c>
      <c r="H23" s="1375">
        <f>+E23/60</f>
        <v>2.5833333333333335</v>
      </c>
      <c r="I23" s="1374">
        <f>+E23/45</f>
        <v>3.4444444444444446</v>
      </c>
      <c r="J23" s="1378">
        <f>+E23/G23</f>
        <v>140</v>
      </c>
      <c r="K23" s="1378">
        <f>+E23/H23</f>
        <v>60</v>
      </c>
      <c r="L23" s="1376">
        <f>+E23/I23</f>
        <v>45</v>
      </c>
      <c r="M23" s="494"/>
      <c r="N23" s="494"/>
      <c r="O23" s="495"/>
      <c r="P23" s="494"/>
      <c r="Q23" s="386"/>
    </row>
    <row r="24" spans="1:18" ht="21.6" thickBot="1">
      <c r="A24" s="1379">
        <v>1</v>
      </c>
      <c r="B24" s="1380">
        <v>1.4</v>
      </c>
      <c r="C24" s="1381" t="s">
        <v>591</v>
      </c>
      <c r="D24" s="1382" t="s">
        <v>592</v>
      </c>
      <c r="E24" s="1383">
        <v>177</v>
      </c>
      <c r="F24" s="1384">
        <f>+E24*1.2</f>
        <v>212.4</v>
      </c>
      <c r="G24" s="1385">
        <f>+E24/140</f>
        <v>1.2642857142857142</v>
      </c>
      <c r="H24" s="1385">
        <f>+E24/60</f>
        <v>2.95</v>
      </c>
      <c r="I24" s="1385">
        <f>+E24/45</f>
        <v>3.9333333333333331</v>
      </c>
      <c r="J24" s="1386">
        <f>+E24/G24</f>
        <v>140</v>
      </c>
      <c r="K24" s="1386">
        <f>+E24/H24</f>
        <v>59.999999999999993</v>
      </c>
      <c r="L24" s="1386">
        <f>+E24/I24</f>
        <v>45</v>
      </c>
      <c r="M24" s="494"/>
      <c r="N24" s="494"/>
      <c r="O24" s="495"/>
      <c r="P24" s="494"/>
      <c r="Q24" s="386"/>
    </row>
    <row r="25" spans="1:18" ht="21.6" thickTop="1" thickBot="1">
      <c r="A25" s="146" t="s">
        <v>593</v>
      </c>
      <c r="B25" s="119"/>
      <c r="C25" s="117"/>
      <c r="D25" s="117"/>
      <c r="E25" s="147">
        <f>SUM(E21:E24)</f>
        <v>470</v>
      </c>
      <c r="F25" s="474">
        <f>SUM(F21:F24)</f>
        <v>688.2</v>
      </c>
      <c r="G25" s="148">
        <f>SUM(G21:G24)</f>
        <v>3.3571428571428572</v>
      </c>
      <c r="H25" s="148">
        <f>SUM(H21:H24)</f>
        <v>7.833333333333333</v>
      </c>
      <c r="I25" s="148">
        <f>SUM(I21:I24)</f>
        <v>10.444444444444445</v>
      </c>
      <c r="J25" s="149">
        <f>+E25/G25</f>
        <v>140</v>
      </c>
      <c r="K25" s="149">
        <f>E25/H25</f>
        <v>60</v>
      </c>
      <c r="L25" s="149">
        <f>E25/I25</f>
        <v>45</v>
      </c>
      <c r="M25" s="491"/>
      <c r="N25" s="491"/>
      <c r="O25" s="492"/>
      <c r="P25" s="493"/>
      <c r="Q25" s="103"/>
    </row>
    <row r="26" spans="1:18" ht="15.6" thickTop="1">
      <c r="A26" s="120"/>
      <c r="B26" s="21"/>
      <c r="C26" s="100"/>
      <c r="D26" s="100"/>
      <c r="E26" s="1449"/>
      <c r="F26" s="2"/>
      <c r="G26" s="100"/>
      <c r="H26" s="100"/>
      <c r="I26" s="126"/>
      <c r="J26" s="126"/>
      <c r="K26" s="126"/>
      <c r="L26" s="126"/>
      <c r="M26" s="126"/>
      <c r="N26" s="126"/>
      <c r="O26" s="126"/>
      <c r="P26" s="126"/>
      <c r="Q26" s="100"/>
    </row>
    <row r="27" spans="1:18" ht="22.8">
      <c r="A27" s="1388" t="s">
        <v>269</v>
      </c>
      <c r="B27" s="142"/>
      <c r="C27" s="142"/>
      <c r="D27" s="142"/>
      <c r="E27" s="1389"/>
      <c r="F27" s="142"/>
      <c r="G27" s="142"/>
      <c r="H27" s="126"/>
      <c r="I27" s="126"/>
      <c r="K27" s="126"/>
      <c r="L27" s="126"/>
      <c r="M27" s="126"/>
      <c r="N27" s="126"/>
      <c r="O27" s="126"/>
      <c r="P27" s="126"/>
      <c r="Q27" s="100"/>
    </row>
    <row r="28" spans="1:18" ht="15.6" thickBot="1">
      <c r="B28" s="478"/>
      <c r="C28" s="100"/>
      <c r="D28" s="100"/>
      <c r="E28" s="100"/>
      <c r="F28" s="2"/>
      <c r="G28" s="100"/>
      <c r="H28" s="100"/>
      <c r="I28" s="126"/>
      <c r="J28" s="126"/>
      <c r="K28" s="126"/>
      <c r="L28" s="126"/>
      <c r="M28" s="126"/>
      <c r="N28" s="126"/>
      <c r="O28" s="126"/>
      <c r="P28" s="126"/>
      <c r="Q28" s="100"/>
    </row>
    <row r="29" spans="1:18" ht="16.2" thickTop="1" thickBot="1">
      <c r="A29" s="501" t="s">
        <v>587</v>
      </c>
      <c r="B29" s="140" t="s">
        <v>544</v>
      </c>
      <c r="C29" s="21" t="s">
        <v>552</v>
      </c>
      <c r="D29" s="140" t="s">
        <v>552</v>
      </c>
      <c r="E29" s="568" t="s">
        <v>853</v>
      </c>
      <c r="F29" s="483" t="s">
        <v>596</v>
      </c>
      <c r="G29" s="140" t="s">
        <v>209</v>
      </c>
      <c r="H29" s="1530" t="s">
        <v>551</v>
      </c>
      <c r="I29" s="1531"/>
      <c r="J29" s="1531"/>
      <c r="K29" s="1531"/>
      <c r="L29" s="1531"/>
      <c r="M29" s="1531"/>
      <c r="N29" s="1531"/>
      <c r="O29" s="1531"/>
      <c r="P29" s="1532"/>
      <c r="Q29" s="140" t="s">
        <v>554</v>
      </c>
      <c r="R29" s="477" t="s">
        <v>570</v>
      </c>
    </row>
    <row r="30" spans="1:18" ht="16.2" thickTop="1" thickBot="1">
      <c r="A30" s="138"/>
      <c r="B30" s="102"/>
      <c r="C30" s="100" t="s">
        <v>553</v>
      </c>
      <c r="D30" s="102" t="s">
        <v>372</v>
      </c>
      <c r="E30" s="481" t="s">
        <v>854</v>
      </c>
      <c r="F30" s="481" t="s">
        <v>597</v>
      </c>
      <c r="G30" s="484" t="s">
        <v>372</v>
      </c>
      <c r="H30" s="1533" t="s">
        <v>599</v>
      </c>
      <c r="I30" s="1531"/>
      <c r="J30" s="1532"/>
      <c r="K30" s="1534" t="s">
        <v>547</v>
      </c>
      <c r="L30" s="1531"/>
      <c r="M30" s="1532"/>
      <c r="N30" s="487" t="s">
        <v>550</v>
      </c>
      <c r="O30" s="1250" t="s">
        <v>600</v>
      </c>
      <c r="P30" s="1253"/>
      <c r="Q30" s="102" t="s">
        <v>372</v>
      </c>
      <c r="R30" s="498" t="s">
        <v>603</v>
      </c>
    </row>
    <row r="31" spans="1:18" ht="16.2" thickTop="1" thickBot="1">
      <c r="A31" s="472"/>
      <c r="B31" s="480"/>
      <c r="C31" s="100"/>
      <c r="D31" s="102"/>
      <c r="E31" s="1254"/>
      <c r="F31" s="481" t="s">
        <v>598</v>
      </c>
      <c r="G31" s="102"/>
      <c r="H31" s="485" t="s">
        <v>548</v>
      </c>
      <c r="I31" s="486" t="s">
        <v>545</v>
      </c>
      <c r="J31" s="486" t="s">
        <v>546</v>
      </c>
      <c r="K31" s="126" t="s">
        <v>548</v>
      </c>
      <c r="L31" s="126" t="s">
        <v>549</v>
      </c>
      <c r="M31" s="126" t="s">
        <v>546</v>
      </c>
      <c r="N31" s="488" t="s">
        <v>546</v>
      </c>
      <c r="O31" s="496" t="s">
        <v>601</v>
      </c>
      <c r="P31" s="497" t="s">
        <v>571</v>
      </c>
      <c r="Q31" s="482" t="s">
        <v>602</v>
      </c>
      <c r="R31" s="499" t="s">
        <v>602</v>
      </c>
    </row>
    <row r="32" spans="1:18" ht="16.8" thickTop="1" thickBot="1">
      <c r="A32" s="138"/>
      <c r="B32" s="1312" t="s">
        <v>541</v>
      </c>
      <c r="C32" s="1313">
        <v>8</v>
      </c>
      <c r="D32" s="1314">
        <f>+C32*$C$11</f>
        <v>2880</v>
      </c>
      <c r="E32" s="1315">
        <f>+D32/$D$36</f>
        <v>0.4</v>
      </c>
      <c r="F32" s="1316">
        <f>+E25</f>
        <v>470</v>
      </c>
      <c r="G32" s="1317">
        <f>+D32*F32</f>
        <v>1353600</v>
      </c>
      <c r="H32" s="1318">
        <v>1</v>
      </c>
      <c r="I32" s="1319">
        <v>120</v>
      </c>
      <c r="J32" s="1320">
        <f>+H32*I32</f>
        <v>120</v>
      </c>
      <c r="K32" s="1321">
        <v>7</v>
      </c>
      <c r="L32" s="1321">
        <v>52</v>
      </c>
      <c r="M32" s="1322">
        <f>+K32*L32</f>
        <v>364</v>
      </c>
      <c r="N32" s="1323"/>
      <c r="O32" s="1324">
        <f>+J32+M32+N32</f>
        <v>484</v>
      </c>
      <c r="P32" s="1325">
        <f>+O32-J32</f>
        <v>364</v>
      </c>
      <c r="Q32" s="1326">
        <f>+D32*O32</f>
        <v>1393920</v>
      </c>
      <c r="R32" s="1327">
        <f>+(F32*Q32)/1000000</f>
        <v>655.14239999999995</v>
      </c>
    </row>
    <row r="33" spans="1:18" ht="16.8" thickTop="1" thickBot="1">
      <c r="A33" s="502">
        <v>1</v>
      </c>
      <c r="B33" s="1328" t="s">
        <v>178</v>
      </c>
      <c r="C33" s="1329">
        <v>8</v>
      </c>
      <c r="D33" s="1330">
        <f>+C33*$C$11</f>
        <v>2880</v>
      </c>
      <c r="E33" s="1331">
        <f>+D33/$D$36</f>
        <v>0.4</v>
      </c>
      <c r="F33" s="1332">
        <f>+E25</f>
        <v>470</v>
      </c>
      <c r="G33" s="1333">
        <f>+D33*F33</f>
        <v>1353600</v>
      </c>
      <c r="H33" s="1329">
        <v>2</v>
      </c>
      <c r="I33" s="1334">
        <v>120</v>
      </c>
      <c r="J33" s="1335">
        <f>+H33*I33</f>
        <v>240</v>
      </c>
      <c r="K33" s="1336">
        <v>64</v>
      </c>
      <c r="L33" s="1336">
        <v>40</v>
      </c>
      <c r="M33" s="1337">
        <f>+K33*L33</f>
        <v>2560</v>
      </c>
      <c r="N33" s="1338"/>
      <c r="O33" s="1339">
        <f>+J33+M33+N33</f>
        <v>2800</v>
      </c>
      <c r="P33" s="1340">
        <f>+O33-J33</f>
        <v>2560</v>
      </c>
      <c r="Q33" s="1341">
        <f>+D33*O33</f>
        <v>8064000</v>
      </c>
      <c r="R33" s="1342">
        <f>+(F33*Q33)/1000000</f>
        <v>3790.08</v>
      </c>
    </row>
    <row r="34" spans="1:18" ht="16.2" thickTop="1">
      <c r="A34" s="138"/>
      <c r="B34" s="1328" t="s">
        <v>8</v>
      </c>
      <c r="C34" s="1329">
        <v>2</v>
      </c>
      <c r="D34" s="1330">
        <f>+C34*$C$11</f>
        <v>720</v>
      </c>
      <c r="E34" s="1331">
        <f>+D34/$D$36</f>
        <v>0.1</v>
      </c>
      <c r="F34" s="1332">
        <f>+E25-E24</f>
        <v>293</v>
      </c>
      <c r="G34" s="1333">
        <f>+D34*F34</f>
        <v>210960</v>
      </c>
      <c r="H34" s="1329">
        <v>1</v>
      </c>
      <c r="I34" s="1334">
        <v>120</v>
      </c>
      <c r="J34" s="1335">
        <f>+H34*I34</f>
        <v>120</v>
      </c>
      <c r="K34" s="1336">
        <v>25</v>
      </c>
      <c r="L34" s="1336">
        <v>40</v>
      </c>
      <c r="M34" s="1337">
        <f>+K34*L34</f>
        <v>1000</v>
      </c>
      <c r="N34" s="1338"/>
      <c r="O34" s="1339">
        <f>+J34+M34+N34</f>
        <v>1120</v>
      </c>
      <c r="P34" s="1340">
        <f>+O34-J34</f>
        <v>1000</v>
      </c>
      <c r="Q34" s="1341">
        <f>+D34*O34</f>
        <v>806400</v>
      </c>
      <c r="R34" s="1342">
        <f>+(F34*Q34)/1000000</f>
        <v>236.27520000000001</v>
      </c>
    </row>
    <row r="35" spans="1:18" ht="16.2" thickBot="1">
      <c r="A35" s="138"/>
      <c r="B35" s="1343" t="s">
        <v>595</v>
      </c>
      <c r="C35" s="1344">
        <v>2</v>
      </c>
      <c r="D35" s="1345">
        <f>+C35*$C$11</f>
        <v>720</v>
      </c>
      <c r="E35" s="1346">
        <f>+D35/$D$36</f>
        <v>0.1</v>
      </c>
      <c r="F35" s="1347">
        <f>+F32/2</f>
        <v>235</v>
      </c>
      <c r="G35" s="1348">
        <f>+D35*F35</f>
        <v>169200</v>
      </c>
      <c r="H35" s="1344">
        <v>1</v>
      </c>
      <c r="I35" s="1349">
        <v>120</v>
      </c>
      <c r="J35" s="1350">
        <f>+H35*I35</f>
        <v>120</v>
      </c>
      <c r="K35" s="1351">
        <v>20</v>
      </c>
      <c r="L35" s="1351">
        <v>35</v>
      </c>
      <c r="M35" s="1352">
        <f>+K35*L35</f>
        <v>700</v>
      </c>
      <c r="N35" s="1353"/>
      <c r="O35" s="1354">
        <f>+J35+M35+N35</f>
        <v>820</v>
      </c>
      <c r="P35" s="1355">
        <f>+O35-J35</f>
        <v>700</v>
      </c>
      <c r="Q35" s="1356">
        <f>+D35*O35</f>
        <v>590400</v>
      </c>
      <c r="R35" s="1357">
        <f>+(F35*Q35)/1000000</f>
        <v>138.744</v>
      </c>
    </row>
    <row r="36" spans="1:18" ht="16.2" thickTop="1" thickBot="1">
      <c r="A36" s="472"/>
      <c r="B36" s="485" t="s">
        <v>210</v>
      </c>
      <c r="C36" s="478">
        <f>SUM(C32:C35)</f>
        <v>20</v>
      </c>
      <c r="D36" s="505">
        <f>SUM(D32:D35)</f>
        <v>7200</v>
      </c>
      <c r="E36" s="1255">
        <f>SUM(E32:E35)</f>
        <v>1</v>
      </c>
      <c r="F36" s="472"/>
      <c r="G36" s="506">
        <f>SUM(G32:G35)</f>
        <v>3087360</v>
      </c>
      <c r="H36" s="478"/>
      <c r="I36" s="479"/>
      <c r="J36" s="479"/>
      <c r="K36" s="479"/>
      <c r="L36" s="479"/>
      <c r="M36" s="479"/>
      <c r="N36" s="479"/>
      <c r="O36" s="517"/>
      <c r="P36" s="517"/>
      <c r="Q36" s="518">
        <f>SUM(Q32:Q35)</f>
        <v>10854720</v>
      </c>
      <c r="R36" s="519">
        <f>SUM(R32:R35)</f>
        <v>4820.2415999999994</v>
      </c>
    </row>
    <row r="37" spans="1:18" ht="15.6" thickTop="1">
      <c r="B37" s="21"/>
      <c r="C37" s="100"/>
      <c r="D37" s="1252"/>
      <c r="E37" s="100"/>
      <c r="F37" s="2"/>
      <c r="G37" s="100"/>
      <c r="H37" s="100"/>
      <c r="I37" s="425" t="s">
        <v>723</v>
      </c>
      <c r="K37" s="126"/>
      <c r="L37" s="126"/>
      <c r="M37" s="126"/>
      <c r="N37" s="126"/>
      <c r="O37" s="126"/>
      <c r="P37" s="126"/>
      <c r="Q37" s="100"/>
    </row>
    <row r="38" spans="1:18">
      <c r="B38" s="100"/>
      <c r="C38" s="100"/>
      <c r="D38" s="1400"/>
      <c r="E38" s="100"/>
      <c r="F38" s="100">
        <f>+D32/D36</f>
        <v>0.4</v>
      </c>
      <c r="G38" s="133" t="s">
        <v>18</v>
      </c>
      <c r="I38" s="425" t="s">
        <v>724</v>
      </c>
      <c r="J38" s="126">
        <f>+D33*K33+D34*K34+D35*K35</f>
        <v>216720</v>
      </c>
      <c r="K38" s="126"/>
      <c r="L38" s="126"/>
      <c r="M38" s="126"/>
      <c r="N38" s="126"/>
      <c r="O38" s="126"/>
      <c r="P38" s="126"/>
      <c r="Q38" s="100"/>
    </row>
    <row r="39" spans="1:18">
      <c r="B39" s="100"/>
      <c r="C39" s="100"/>
      <c r="D39" s="1400"/>
      <c r="E39" s="100"/>
      <c r="F39" s="2">
        <f>+SUM(D33:D35)/D36</f>
        <v>0.6</v>
      </c>
      <c r="G39" s="133" t="s">
        <v>746</v>
      </c>
      <c r="H39" s="100"/>
      <c r="I39" s="425" t="s">
        <v>725</v>
      </c>
      <c r="J39" s="126">
        <f>+J38*2</f>
        <v>433440</v>
      </c>
      <c r="K39" s="126"/>
      <c r="L39" s="126"/>
      <c r="M39" s="126"/>
      <c r="N39" s="126"/>
      <c r="O39" s="126"/>
      <c r="P39" s="126"/>
      <c r="Q39" s="100"/>
    </row>
    <row r="40" spans="1:18">
      <c r="B40" s="100"/>
      <c r="C40" s="100"/>
      <c r="D40" s="1400"/>
      <c r="E40" s="100"/>
      <c r="F40" s="2"/>
      <c r="G40" s="100"/>
      <c r="H40" s="100"/>
      <c r="I40" s="425"/>
      <c r="K40" s="126"/>
      <c r="L40" s="126"/>
      <c r="M40" s="126"/>
      <c r="N40" s="126"/>
      <c r="O40" s="126"/>
      <c r="P40" s="126"/>
      <c r="Q40" s="100"/>
    </row>
    <row r="41" spans="1:18">
      <c r="B41" s="100"/>
      <c r="C41" s="100"/>
      <c r="D41" s="1400"/>
      <c r="E41" s="100"/>
      <c r="F41" s="2"/>
      <c r="G41" s="100"/>
      <c r="H41" s="100"/>
      <c r="I41" s="425"/>
      <c r="K41" s="126"/>
      <c r="L41" s="126"/>
      <c r="M41" s="126"/>
      <c r="N41" s="126"/>
      <c r="O41" s="126"/>
      <c r="P41" s="126"/>
      <c r="Q41" s="100"/>
    </row>
    <row r="42" spans="1:18">
      <c r="B42" s="100"/>
      <c r="C42" s="100"/>
      <c r="D42" s="1400"/>
      <c r="E42" s="100"/>
      <c r="F42" s="2"/>
      <c r="G42" s="100"/>
      <c r="H42" s="100"/>
      <c r="I42" s="425"/>
      <c r="K42" s="126"/>
      <c r="L42" s="126"/>
      <c r="M42" s="126"/>
      <c r="N42" s="126"/>
      <c r="O42" s="126"/>
      <c r="P42" s="126"/>
      <c r="Q42" s="100"/>
    </row>
    <row r="43" spans="1:18">
      <c r="B43" s="100"/>
      <c r="C43" s="100"/>
      <c r="D43" s="1400"/>
      <c r="E43" s="100"/>
      <c r="F43" s="2"/>
      <c r="G43" s="100"/>
      <c r="H43" s="100"/>
      <c r="I43" s="425"/>
      <c r="K43" s="126"/>
      <c r="L43" s="126"/>
      <c r="M43" s="126"/>
      <c r="N43" s="126"/>
      <c r="O43" s="126"/>
      <c r="P43" s="126"/>
      <c r="Q43" s="100"/>
    </row>
    <row r="44" spans="1:18" ht="22.8">
      <c r="A44" s="500" t="s">
        <v>814</v>
      </c>
      <c r="B44" s="100"/>
      <c r="C44" s="100"/>
      <c r="D44" s="100"/>
      <c r="E44" s="2"/>
      <c r="K44" s="126"/>
      <c r="L44" s="126"/>
      <c r="M44" s="126"/>
      <c r="N44" s="126"/>
      <c r="O44" s="126"/>
      <c r="P44" s="126"/>
      <c r="Q44" s="100"/>
    </row>
    <row r="45" spans="1:18">
      <c r="B45" s="100"/>
      <c r="C45" s="100"/>
      <c r="D45" s="100"/>
      <c r="E45" s="100"/>
      <c r="K45" s="126"/>
      <c r="L45" s="126"/>
      <c r="M45" s="126"/>
      <c r="N45" s="126"/>
      <c r="O45" s="126"/>
      <c r="P45" s="126"/>
      <c r="Q45" s="100"/>
    </row>
    <row r="46" spans="1:18" ht="15.6" thickBot="1">
      <c r="A46" s="59" t="s">
        <v>889</v>
      </c>
      <c r="B46" s="100"/>
      <c r="C46" s="100"/>
      <c r="D46" s="100"/>
      <c r="E46" s="100"/>
      <c r="F46" s="2"/>
      <c r="G46" s="133"/>
      <c r="H46" s="100"/>
      <c r="I46" s="425"/>
      <c r="J46" s="126"/>
      <c r="K46" s="126"/>
      <c r="L46" s="126"/>
      <c r="M46" s="126"/>
      <c r="N46" s="126"/>
      <c r="O46" s="126"/>
      <c r="P46" s="126"/>
      <c r="Q46" s="100"/>
    </row>
    <row r="47" spans="1:18" ht="28.8" thickTop="1" thickBot="1">
      <c r="A47" s="1419">
        <v>1</v>
      </c>
      <c r="B47" s="1420" t="s">
        <v>607</v>
      </c>
      <c r="C47" s="1421"/>
      <c r="D47" s="1421"/>
      <c r="E47" s="1421"/>
      <c r="F47" s="1422">
        <f>+I53+K53</f>
        <v>18.38</v>
      </c>
      <c r="G47" s="2"/>
      <c r="H47" s="1391" t="s">
        <v>883</v>
      </c>
      <c r="I47" s="1393" t="s">
        <v>888</v>
      </c>
      <c r="J47" s="1401" t="s">
        <v>884</v>
      </c>
      <c r="K47" s="1392" t="s">
        <v>881</v>
      </c>
      <c r="L47" s="126"/>
      <c r="M47" s="126"/>
      <c r="N47" s="126"/>
      <c r="O47" s="126"/>
      <c r="P47" s="126"/>
      <c r="Q47" s="100"/>
    </row>
    <row r="48" spans="1:18" ht="32.4" thickTop="1" thickBot="1">
      <c r="A48" s="1423">
        <v>2</v>
      </c>
      <c r="B48" s="1424" t="s">
        <v>608</v>
      </c>
      <c r="C48" s="1425"/>
      <c r="D48" s="1425"/>
      <c r="E48" s="1426"/>
      <c r="F48" s="1427">
        <f>1500*1.5</f>
        <v>2250</v>
      </c>
      <c r="G48" s="59"/>
      <c r="H48" s="1412" t="s">
        <v>872</v>
      </c>
      <c r="I48" s="1396"/>
      <c r="J48" s="1416" t="s">
        <v>873</v>
      </c>
      <c r="K48" s="1402"/>
      <c r="L48" s="126"/>
      <c r="M48" s="126"/>
      <c r="N48" s="126"/>
      <c r="O48" s="126"/>
      <c r="P48" s="126"/>
      <c r="Q48" s="100"/>
    </row>
    <row r="49" spans="1:17" ht="32.4" thickTop="1" thickBot="1">
      <c r="A49" s="1428">
        <v>3</v>
      </c>
      <c r="B49" s="1429" t="s">
        <v>609</v>
      </c>
      <c r="C49" s="1430"/>
      <c r="D49" s="1430"/>
      <c r="E49" s="1430"/>
      <c r="F49" s="1431">
        <f>+(F47*1000000)/F48</f>
        <v>8168.8888888888887</v>
      </c>
      <c r="H49" s="1413" t="s">
        <v>874</v>
      </c>
      <c r="I49" s="1397"/>
      <c r="J49" s="1417" t="s">
        <v>875</v>
      </c>
      <c r="K49" s="1403"/>
      <c r="L49" s="126"/>
      <c r="M49" s="126"/>
      <c r="N49" s="126"/>
      <c r="O49" s="126"/>
      <c r="P49" s="126"/>
      <c r="Q49" s="100"/>
    </row>
    <row r="50" spans="1:17" ht="63" thickTop="1">
      <c r="A50" s="1432">
        <v>4</v>
      </c>
      <c r="B50" s="1433" t="s">
        <v>868</v>
      </c>
      <c r="C50" s="1434"/>
      <c r="D50" s="1434"/>
      <c r="E50" s="1434"/>
      <c r="F50" s="1435">
        <f>I54</f>
        <v>0.6</v>
      </c>
      <c r="H50" s="1413" t="s">
        <v>876</v>
      </c>
      <c r="I50" s="1397"/>
      <c r="J50" s="1417" t="s">
        <v>877</v>
      </c>
      <c r="K50" s="1403"/>
      <c r="L50" s="126"/>
      <c r="M50" s="126"/>
      <c r="N50" s="126"/>
      <c r="O50" s="126"/>
      <c r="P50" s="126"/>
      <c r="Q50" s="100"/>
    </row>
    <row r="51" spans="1:17" ht="63" thickBot="1">
      <c r="A51" s="1432">
        <v>5</v>
      </c>
      <c r="B51" s="1436" t="s">
        <v>869</v>
      </c>
      <c r="C51" s="1437"/>
      <c r="D51" s="1437"/>
      <c r="E51" s="1437"/>
      <c r="F51" s="1438">
        <f>K54</f>
        <v>0.4</v>
      </c>
      <c r="H51" s="1413" t="s">
        <v>878</v>
      </c>
      <c r="I51" s="1397"/>
      <c r="J51" s="1417" t="s">
        <v>879</v>
      </c>
      <c r="K51" s="1403"/>
      <c r="L51" s="126"/>
      <c r="M51" s="126"/>
      <c r="N51" s="126"/>
      <c r="O51" s="126"/>
      <c r="P51" s="126"/>
      <c r="Q51" s="100"/>
    </row>
    <row r="52" spans="1:17" ht="48" thickTop="1" thickBot="1">
      <c r="A52" s="1439">
        <v>6</v>
      </c>
      <c r="B52" s="1440" t="s">
        <v>870</v>
      </c>
      <c r="C52" s="1441"/>
      <c r="D52" s="1441"/>
      <c r="E52" s="1442"/>
      <c r="F52" s="1443">
        <f>+F49*F50</f>
        <v>4901.333333333333</v>
      </c>
      <c r="H52" s="1414" t="s">
        <v>880</v>
      </c>
      <c r="I52" s="1398"/>
      <c r="J52" s="1394"/>
      <c r="K52" s="1395"/>
      <c r="L52" s="1415"/>
      <c r="M52" s="126"/>
      <c r="N52" s="126"/>
      <c r="O52" s="126"/>
      <c r="P52" s="126"/>
      <c r="Q52" s="100"/>
    </row>
    <row r="53" spans="1:17" ht="16.2" thickTop="1" thickBot="1">
      <c r="A53" s="1444">
        <v>7</v>
      </c>
      <c r="B53" s="1445" t="s">
        <v>871</v>
      </c>
      <c r="C53" s="1446"/>
      <c r="D53" s="1447"/>
      <c r="E53" s="1442"/>
      <c r="F53" s="1448">
        <f>+(F49*F25*F51)/(R36*1000000)</f>
        <v>4.6651846939235042E-4</v>
      </c>
      <c r="H53" s="1399" t="s">
        <v>885</v>
      </c>
      <c r="I53" s="1407">
        <v>11.027999999999999</v>
      </c>
      <c r="J53" s="1404" t="s">
        <v>886</v>
      </c>
      <c r="K53" s="1410">
        <v>7.3520000000000003</v>
      </c>
      <c r="L53" s="126"/>
      <c r="M53" s="126"/>
      <c r="N53" s="126"/>
      <c r="O53" s="126"/>
      <c r="P53" s="126"/>
      <c r="Q53" s="100"/>
    </row>
    <row r="54" spans="1:17" ht="16.2" thickTop="1" thickBot="1">
      <c r="B54" s="133"/>
      <c r="C54" s="100"/>
      <c r="D54" s="100"/>
      <c r="E54" s="100"/>
      <c r="F54" s="1390"/>
      <c r="H54" s="1406" t="s">
        <v>882</v>
      </c>
      <c r="I54" s="1408">
        <f>+I53/(I53+K53)</f>
        <v>0.6</v>
      </c>
      <c r="J54" s="1409" t="s">
        <v>887</v>
      </c>
      <c r="K54" s="1411">
        <f>+K53/(I53+K53)</f>
        <v>0.4</v>
      </c>
      <c r="L54" s="126"/>
      <c r="M54" s="126"/>
      <c r="N54" s="126"/>
      <c r="O54" s="126"/>
      <c r="P54" s="126"/>
      <c r="Q54" s="100"/>
    </row>
    <row r="55" spans="1:17" ht="16.2" thickTop="1">
      <c r="B55" s="523"/>
      <c r="C55" s="1418"/>
      <c r="D55" s="525"/>
      <c r="E55" s="524"/>
      <c r="F55" s="526"/>
      <c r="G55" s="525"/>
      <c r="H55" s="524"/>
      <c r="I55" s="1405"/>
      <c r="J55" s="126"/>
      <c r="K55" s="126"/>
      <c r="L55" s="126"/>
      <c r="M55" s="126"/>
      <c r="N55" s="126"/>
      <c r="O55" s="126"/>
      <c r="P55" s="126"/>
      <c r="Q55" s="100"/>
    </row>
    <row r="56" spans="1:17" ht="15.6">
      <c r="B56" s="523"/>
      <c r="C56" s="528"/>
      <c r="D56" s="525"/>
      <c r="E56" s="524"/>
      <c r="F56" s="526"/>
      <c r="G56" s="525"/>
      <c r="H56" s="524"/>
      <c r="I56" s="527"/>
      <c r="J56" s="126"/>
      <c r="K56" s="126"/>
      <c r="L56" s="126"/>
      <c r="M56" s="126"/>
      <c r="N56" s="126"/>
      <c r="O56" s="126"/>
      <c r="P56" s="126"/>
      <c r="Q56" s="100"/>
    </row>
    <row r="57" spans="1:17">
      <c r="C57" s="528"/>
      <c r="D57" s="100"/>
      <c r="E57" s="100"/>
      <c r="F57" s="100"/>
      <c r="G57" s="2"/>
      <c r="H57" s="100"/>
      <c r="I57" s="100"/>
      <c r="J57" s="126"/>
      <c r="K57" s="126"/>
      <c r="L57" s="126"/>
      <c r="M57" s="126"/>
      <c r="N57" s="126"/>
      <c r="O57" s="126"/>
      <c r="P57" s="126"/>
      <c r="Q57" s="100"/>
    </row>
    <row r="58" spans="1:17">
      <c r="C58" s="528"/>
      <c r="D58" s="100"/>
      <c r="E58" s="100"/>
      <c r="F58" s="100"/>
      <c r="G58" s="2"/>
      <c r="H58" s="100"/>
      <c r="I58" s="100"/>
      <c r="J58" s="126"/>
      <c r="K58" s="126"/>
      <c r="L58" s="126"/>
      <c r="M58" s="126"/>
      <c r="N58" s="126"/>
      <c r="O58" s="126"/>
      <c r="P58" s="126"/>
      <c r="Q58" s="100"/>
    </row>
    <row r="59" spans="1:17">
      <c r="C59" s="528"/>
      <c r="D59" s="100"/>
      <c r="E59" s="1090"/>
      <c r="F59" s="100"/>
      <c r="G59" s="2"/>
      <c r="H59" s="100"/>
      <c r="I59" s="100"/>
      <c r="J59" s="126"/>
      <c r="K59" s="126"/>
      <c r="L59" s="126"/>
      <c r="M59" s="126"/>
      <c r="N59" s="126"/>
      <c r="O59" s="126"/>
      <c r="P59" s="126"/>
      <c r="Q59" s="100"/>
    </row>
    <row r="60" spans="1:17" ht="22.8">
      <c r="A60" s="19" t="s">
        <v>858</v>
      </c>
      <c r="B60" s="1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26"/>
      <c r="P60" s="126"/>
      <c r="Q60" s="100"/>
    </row>
    <row r="61" spans="1:17" ht="15.6" thickBo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26"/>
      <c r="P61" s="126"/>
      <c r="Q61" s="100"/>
    </row>
    <row r="62" spans="1:17" ht="15.6" thickTop="1">
      <c r="A62" s="20" t="s">
        <v>362</v>
      </c>
      <c r="B62" s="466" t="s">
        <v>610</v>
      </c>
      <c r="C62" s="21"/>
      <c r="D62" s="21"/>
      <c r="E62" s="20" t="s">
        <v>363</v>
      </c>
      <c r="F62" s="137" t="s">
        <v>557</v>
      </c>
      <c r="G62" s="26"/>
      <c r="H62" s="101"/>
      <c r="I62" s="466" t="s">
        <v>614</v>
      </c>
      <c r="J62" s="20" t="s">
        <v>364</v>
      </c>
      <c r="K62" s="137" t="s">
        <v>382</v>
      </c>
      <c r="L62" s="104" t="s">
        <v>365</v>
      </c>
      <c r="O62" s="126"/>
      <c r="P62" s="126"/>
      <c r="Q62" s="100"/>
    </row>
    <row r="63" spans="1:17" ht="18" thickBot="1">
      <c r="A63" s="23"/>
      <c r="B63" s="22"/>
      <c r="C63" s="99"/>
      <c r="D63" s="99"/>
      <c r="E63" s="23" t="s">
        <v>367</v>
      </c>
      <c r="F63" s="121"/>
      <c r="G63" s="529"/>
      <c r="H63" s="103"/>
      <c r="I63" s="467" t="s">
        <v>815</v>
      </c>
      <c r="J63" s="467" t="s">
        <v>368</v>
      </c>
      <c r="K63" s="1096" t="s">
        <v>821</v>
      </c>
      <c r="L63" s="105" t="s">
        <v>369</v>
      </c>
      <c r="O63" s="126"/>
      <c r="P63" s="126"/>
      <c r="Q63" s="100"/>
    </row>
    <row r="64" spans="1:17" ht="18" thickTop="1">
      <c r="A64" s="24"/>
      <c r="B64" s="23"/>
      <c r="C64" s="100"/>
      <c r="D64" s="100"/>
      <c r="E64" s="467" t="s">
        <v>567</v>
      </c>
      <c r="F64" s="20" t="s">
        <v>371</v>
      </c>
      <c r="G64" s="115" t="s">
        <v>685</v>
      </c>
      <c r="H64" s="134" t="s">
        <v>686</v>
      </c>
      <c r="I64" s="467" t="s">
        <v>613</v>
      </c>
      <c r="J64" s="467" t="s">
        <v>638</v>
      </c>
      <c r="K64" s="25"/>
      <c r="L64" s="105" t="s">
        <v>372</v>
      </c>
      <c r="O64" s="126"/>
      <c r="P64" s="126"/>
      <c r="Q64" s="100"/>
    </row>
    <row r="65" spans="1:17" ht="15.6" thickBot="1">
      <c r="A65" s="24"/>
      <c r="B65" s="23"/>
      <c r="C65" s="100"/>
      <c r="D65" s="100"/>
      <c r="E65" s="23"/>
      <c r="F65" s="530" t="s">
        <v>892</v>
      </c>
      <c r="G65" s="530" t="s">
        <v>892</v>
      </c>
      <c r="H65" s="135" t="s">
        <v>558</v>
      </c>
      <c r="I65" s="23"/>
      <c r="J65" s="23"/>
      <c r="K65" s="25"/>
      <c r="L65" s="105"/>
      <c r="O65" s="126"/>
      <c r="P65" s="126"/>
      <c r="Q65" s="100"/>
    </row>
    <row r="66" spans="1:17" ht="16.2" thickTop="1">
      <c r="A66" s="1091">
        <v>1</v>
      </c>
      <c r="B66" s="1545" t="s">
        <v>611</v>
      </c>
      <c r="C66" s="1546"/>
      <c r="D66" s="1547"/>
      <c r="E66" s="548">
        <v>150</v>
      </c>
      <c r="F66" s="549"/>
      <c r="G66" s="550">
        <v>3</v>
      </c>
      <c r="H66" s="551"/>
      <c r="I66" s="552">
        <v>4</v>
      </c>
      <c r="J66" s="1046">
        <f>D92</f>
        <v>1.1427777777777779</v>
      </c>
      <c r="K66" s="553">
        <v>0.9</v>
      </c>
      <c r="L66" s="531">
        <f>(360*24*K66)</f>
        <v>7776</v>
      </c>
      <c r="O66" s="126"/>
      <c r="P66" s="126"/>
      <c r="Q66" s="100"/>
    </row>
    <row r="67" spans="1:17" ht="15.6">
      <c r="A67" s="1093">
        <v>2</v>
      </c>
      <c r="B67" s="1548" t="s">
        <v>831</v>
      </c>
      <c r="C67" s="1549"/>
      <c r="D67" s="1550"/>
      <c r="E67" s="554">
        <v>115</v>
      </c>
      <c r="F67" s="555">
        <v>8</v>
      </c>
      <c r="G67" s="555">
        <v>4</v>
      </c>
      <c r="H67" s="556"/>
      <c r="I67" s="557">
        <v>3</v>
      </c>
      <c r="J67" s="1047">
        <f>D92</f>
        <v>1.1427777777777779</v>
      </c>
      <c r="K67" s="558">
        <v>0.9</v>
      </c>
      <c r="L67" s="532">
        <f>360*24*K67</f>
        <v>7776</v>
      </c>
      <c r="O67" s="126"/>
      <c r="P67" s="126"/>
      <c r="Q67" s="100"/>
    </row>
    <row r="68" spans="1:17" ht="15.6">
      <c r="A68" s="1092">
        <v>3</v>
      </c>
      <c r="B68" s="1518" t="s">
        <v>816</v>
      </c>
      <c r="C68" s="1519"/>
      <c r="D68" s="1520"/>
      <c r="E68" s="554">
        <v>140</v>
      </c>
      <c r="F68" s="555"/>
      <c r="G68" s="555">
        <v>8</v>
      </c>
      <c r="H68" s="559"/>
      <c r="I68" s="557">
        <v>7</v>
      </c>
      <c r="J68" s="1089">
        <f>+D92/2</f>
        <v>0.57138888888888895</v>
      </c>
      <c r="K68" s="558">
        <v>0.9</v>
      </c>
      <c r="L68" s="532">
        <f>360*24*K68</f>
        <v>7776</v>
      </c>
      <c r="O68" s="126"/>
      <c r="P68" s="126"/>
      <c r="Q68" s="100"/>
    </row>
    <row r="69" spans="1:17" ht="15.6">
      <c r="A69" s="1095">
        <v>4</v>
      </c>
      <c r="B69" s="1518" t="s">
        <v>817</v>
      </c>
      <c r="C69" s="1519"/>
      <c r="D69" s="1520"/>
      <c r="E69" s="554">
        <v>120</v>
      </c>
      <c r="F69" s="555">
        <v>18</v>
      </c>
      <c r="G69" s="555">
        <v>11.4</v>
      </c>
      <c r="H69" s="559"/>
      <c r="I69" s="557">
        <v>6.8</v>
      </c>
      <c r="J69" s="1089">
        <f>+D92/2</f>
        <v>0.57138888888888895</v>
      </c>
      <c r="K69" s="558">
        <v>0.9</v>
      </c>
      <c r="L69" s="532">
        <f>360*24*K69</f>
        <v>7776</v>
      </c>
      <c r="O69" s="126"/>
      <c r="P69" s="126"/>
      <c r="Q69" s="100"/>
    </row>
    <row r="70" spans="1:17" ht="20.399999999999999">
      <c r="A70" s="1092">
        <v>5</v>
      </c>
      <c r="B70" s="1518" t="s">
        <v>612</v>
      </c>
      <c r="C70" s="1519"/>
      <c r="D70" s="1520"/>
      <c r="E70" s="554">
        <v>60</v>
      </c>
      <c r="F70" s="559"/>
      <c r="G70" s="559"/>
      <c r="H70" s="559">
        <f>9*1.5</f>
        <v>13.5</v>
      </c>
      <c r="I70" s="557">
        <v>1.5</v>
      </c>
      <c r="J70" s="1048"/>
      <c r="K70" s="558">
        <v>0.8</v>
      </c>
      <c r="L70" s="532">
        <f>360*24*K70</f>
        <v>6912</v>
      </c>
      <c r="O70" s="123"/>
      <c r="Q70" s="124"/>
    </row>
    <row r="71" spans="1:17" ht="20.399999999999999">
      <c r="A71" s="1092">
        <v>6</v>
      </c>
      <c r="B71" s="597"/>
      <c r="C71" s="598"/>
      <c r="D71" s="598"/>
      <c r="E71" s="559"/>
      <c r="F71" s="559"/>
      <c r="G71" s="559"/>
      <c r="H71" s="559"/>
      <c r="I71" s="597"/>
      <c r="J71" s="1048"/>
      <c r="K71" s="558"/>
      <c r="L71" s="532"/>
      <c r="O71" s="124"/>
      <c r="Q71" s="125"/>
    </row>
    <row r="72" spans="1:17" ht="20.399999999999999">
      <c r="A72" s="1093">
        <v>7</v>
      </c>
      <c r="B72" s="597"/>
      <c r="C72" s="598"/>
      <c r="D72" s="598"/>
      <c r="E72" s="559"/>
      <c r="F72" s="559"/>
      <c r="G72" s="559"/>
      <c r="H72" s="559"/>
      <c r="I72" s="597"/>
      <c r="J72" s="1048"/>
      <c r="K72" s="558"/>
      <c r="L72" s="532"/>
      <c r="O72" s="124"/>
      <c r="Q72" s="125"/>
    </row>
    <row r="73" spans="1:17" ht="21" thickBot="1">
      <c r="A73" s="1094">
        <v>8</v>
      </c>
      <c r="B73" s="599"/>
      <c r="C73" s="600"/>
      <c r="D73" s="600"/>
      <c r="E73" s="601"/>
      <c r="F73" s="601"/>
      <c r="G73" s="601"/>
      <c r="H73" s="601"/>
      <c r="I73" s="599"/>
      <c r="J73" s="1049"/>
      <c r="K73" s="602"/>
      <c r="L73" s="603"/>
      <c r="O73" s="124"/>
      <c r="Q73" s="125"/>
    </row>
    <row r="74" spans="1:17" ht="21" thickTop="1">
      <c r="B74" s="100"/>
      <c r="C74" s="100"/>
      <c r="D74" s="128"/>
      <c r="F74" s="124"/>
      <c r="G74" s="124"/>
      <c r="H74" s="124"/>
      <c r="I74" s="422"/>
      <c r="J74" s="422"/>
      <c r="K74" s="422"/>
      <c r="L74" s="126"/>
      <c r="M74" s="128"/>
      <c r="N74" s="124"/>
      <c r="O74" s="124"/>
      <c r="P74" s="124"/>
      <c r="Q74" s="129"/>
    </row>
    <row r="75" spans="1:17" ht="20.399999999999999">
      <c r="A75" s="59" t="s">
        <v>818</v>
      </c>
      <c r="B75" s="100"/>
      <c r="C75" s="100"/>
      <c r="D75" s="128"/>
      <c r="F75" s="124"/>
      <c r="G75" s="124"/>
      <c r="H75" s="124"/>
      <c r="I75" s="422"/>
      <c r="J75" s="422"/>
      <c r="K75" s="422"/>
      <c r="L75" s="126"/>
      <c r="M75" s="128"/>
      <c r="N75" s="124"/>
      <c r="O75" s="124"/>
      <c r="P75" s="124"/>
      <c r="Q75" s="129"/>
    </row>
    <row r="76" spans="1:17" ht="20.399999999999999">
      <c r="A76" s="59" t="s">
        <v>819</v>
      </c>
      <c r="B76" s="100"/>
      <c r="C76" s="100"/>
      <c r="D76" s="128"/>
      <c r="E76" s="59"/>
      <c r="F76" s="124"/>
      <c r="G76" s="124"/>
      <c r="H76" s="124"/>
      <c r="I76" s="422"/>
      <c r="J76" s="422"/>
      <c r="K76" s="422"/>
      <c r="L76" s="126"/>
      <c r="M76" s="128"/>
      <c r="N76" s="124"/>
      <c r="O76" s="124"/>
      <c r="P76" s="124"/>
      <c r="Q76" s="129"/>
    </row>
    <row r="77" spans="1:17" ht="20.399999999999999">
      <c r="A77" s="59" t="s">
        <v>820</v>
      </c>
      <c r="B77" s="100"/>
      <c r="C77" s="100"/>
      <c r="D77" s="128"/>
      <c r="E77" s="59"/>
      <c r="F77" s="124"/>
      <c r="G77" s="124"/>
      <c r="H77" s="124"/>
      <c r="I77" s="422"/>
      <c r="J77" s="422"/>
      <c r="K77" s="422"/>
      <c r="L77" s="126"/>
      <c r="M77" s="128"/>
      <c r="N77" s="124"/>
      <c r="O77" s="124"/>
      <c r="P77" s="124"/>
      <c r="Q77" s="129"/>
    </row>
    <row r="78" spans="1:17" ht="20.399999999999999">
      <c r="B78" s="100"/>
      <c r="C78" s="100"/>
      <c r="D78" s="128"/>
      <c r="E78" s="59"/>
      <c r="F78" s="124"/>
      <c r="G78" s="124"/>
      <c r="H78" s="124"/>
      <c r="I78" s="422"/>
      <c r="J78" s="422"/>
      <c r="K78" s="422"/>
      <c r="L78" s="126"/>
      <c r="M78" s="128"/>
      <c r="N78" s="124"/>
      <c r="O78" s="124"/>
      <c r="P78" s="124"/>
      <c r="Q78" s="129"/>
    </row>
    <row r="79" spans="1:17" ht="20.399999999999999">
      <c r="B79" s="100"/>
      <c r="C79" s="100"/>
      <c r="D79" s="128"/>
      <c r="F79" s="124"/>
      <c r="G79" s="124"/>
      <c r="H79" s="124"/>
      <c r="I79" s="422"/>
      <c r="J79" s="422"/>
      <c r="K79" s="422"/>
      <c r="L79" s="126"/>
      <c r="M79" s="128"/>
      <c r="N79" s="124"/>
      <c r="O79" s="124"/>
      <c r="P79" s="124"/>
      <c r="Q79" s="129"/>
    </row>
    <row r="80" spans="1:17" ht="20.399999999999999">
      <c r="A80" s="3" t="s">
        <v>615</v>
      </c>
      <c r="B80" s="100"/>
      <c r="C80" s="100"/>
      <c r="D80" s="128"/>
      <c r="F80" s="124"/>
      <c r="G80" s="124"/>
      <c r="H80" s="124"/>
      <c r="I80" s="422"/>
      <c r="J80" s="422"/>
      <c r="K80" s="422"/>
      <c r="L80" s="126"/>
      <c r="M80" s="128"/>
      <c r="N80" s="124"/>
      <c r="O80" s="124"/>
      <c r="P80" s="124"/>
      <c r="Q80" s="129"/>
    </row>
    <row r="81" spans="1:17" ht="21" thickBot="1">
      <c r="B81" s="100"/>
      <c r="C81" s="100"/>
      <c r="D81" s="128"/>
      <c r="F81" s="124"/>
      <c r="G81" s="124"/>
      <c r="H81" s="124"/>
      <c r="I81" s="422"/>
      <c r="J81" s="422"/>
      <c r="K81" s="422"/>
      <c r="L81" s="126"/>
      <c r="M81" s="128"/>
      <c r="N81" s="124"/>
      <c r="O81" s="124"/>
      <c r="P81" s="124"/>
      <c r="Q81" s="129"/>
    </row>
    <row r="82" spans="1:17" ht="21.6" thickTop="1" thickBot="1">
      <c r="A82" s="507" t="s">
        <v>616</v>
      </c>
      <c r="B82" s="508"/>
      <c r="C82" s="508"/>
      <c r="D82" s="539">
        <v>150000</v>
      </c>
      <c r="F82" s="124"/>
      <c r="G82" s="124"/>
      <c r="H82" s="124"/>
      <c r="I82" s="422"/>
      <c r="J82" s="422"/>
      <c r="K82" s="422"/>
      <c r="L82" s="126"/>
      <c r="M82" s="128"/>
      <c r="N82" s="124"/>
      <c r="O82" s="124"/>
      <c r="P82" s="124"/>
      <c r="Q82" s="129"/>
    </row>
    <row r="83" spans="1:17" ht="21.6" thickTop="1" thickBot="1">
      <c r="A83" s="534" t="s">
        <v>617</v>
      </c>
      <c r="B83" s="301"/>
      <c r="C83" s="301"/>
      <c r="D83" s="547">
        <v>360000</v>
      </c>
      <c r="F83" s="124"/>
      <c r="G83" s="124"/>
      <c r="H83" s="124"/>
      <c r="I83" s="422"/>
      <c r="J83" s="422"/>
      <c r="K83" s="422"/>
      <c r="L83" s="126"/>
      <c r="M83" s="128"/>
      <c r="N83" s="124"/>
      <c r="O83" s="124"/>
      <c r="P83" s="124"/>
      <c r="Q83" s="129"/>
    </row>
    <row r="84" spans="1:17" ht="21.6" thickTop="1" thickBot="1">
      <c r="A84" s="537" t="s">
        <v>618</v>
      </c>
      <c r="B84" s="508"/>
      <c r="C84" s="508"/>
      <c r="D84" s="535"/>
      <c r="F84" s="124"/>
      <c r="G84" s="124"/>
      <c r="H84" s="124"/>
      <c r="I84" s="422"/>
      <c r="J84" s="422"/>
      <c r="K84" s="422"/>
      <c r="L84" s="126"/>
      <c r="M84" s="128"/>
      <c r="N84" s="124"/>
      <c r="O84" s="124"/>
      <c r="P84" s="124"/>
      <c r="Q84" s="129"/>
    </row>
    <row r="85" spans="1:17" ht="21.6" thickTop="1" thickBot="1">
      <c r="A85" s="540" t="s">
        <v>619</v>
      </c>
      <c r="B85" s="513"/>
      <c r="C85" s="541"/>
      <c r="D85" s="539">
        <v>74000</v>
      </c>
      <c r="E85" s="59" t="s">
        <v>675</v>
      </c>
      <c r="F85" s="670">
        <f>+D85/D87</f>
        <v>0.19786096256684493</v>
      </c>
      <c r="G85" s="124"/>
      <c r="H85" s="124"/>
      <c r="I85" s="422"/>
      <c r="J85" s="422"/>
      <c r="K85" s="422"/>
      <c r="L85" s="126"/>
      <c r="M85" s="128"/>
      <c r="N85" s="124"/>
      <c r="O85" s="124"/>
      <c r="P85" s="124"/>
      <c r="Q85" s="129"/>
    </row>
    <row r="86" spans="1:17" ht="21.6" thickTop="1" thickBot="1">
      <c r="A86" s="540" t="s">
        <v>620</v>
      </c>
      <c r="B86" s="513"/>
      <c r="C86" s="541"/>
      <c r="D86" s="539">
        <v>300000</v>
      </c>
      <c r="E86" s="59" t="s">
        <v>676</v>
      </c>
      <c r="F86" s="670">
        <f>+D86/D87</f>
        <v>0.80213903743315507</v>
      </c>
      <c r="G86" s="124"/>
      <c r="H86" s="124"/>
      <c r="I86" s="422"/>
      <c r="J86" s="422"/>
      <c r="K86" s="422"/>
      <c r="L86" s="126"/>
      <c r="M86" s="128"/>
      <c r="N86" s="124"/>
      <c r="O86" s="124"/>
      <c r="P86" s="124"/>
      <c r="Q86" s="129"/>
    </row>
    <row r="87" spans="1:17" ht="21.6" thickTop="1" thickBot="1">
      <c r="A87" s="534" t="s">
        <v>621</v>
      </c>
      <c r="B87" s="301"/>
      <c r="C87" s="301"/>
      <c r="D87" s="536">
        <f>SUM(D85:D86)</f>
        <v>374000</v>
      </c>
      <c r="E87" s="122"/>
      <c r="F87" s="122"/>
      <c r="G87" s="123"/>
      <c r="H87" s="123"/>
      <c r="I87" s="129"/>
      <c r="J87" s="131"/>
      <c r="K87" s="131"/>
      <c r="L87" s="126"/>
      <c r="M87" s="130"/>
      <c r="N87" s="124"/>
      <c r="O87" s="124"/>
      <c r="Q87" s="129"/>
    </row>
    <row r="88" spans="1:17" ht="21.6" thickTop="1" thickBot="1">
      <c r="A88" s="543" t="s">
        <v>622</v>
      </c>
      <c r="B88" s="511"/>
      <c r="C88" s="544"/>
      <c r="D88" s="538">
        <f>+D82/D83*D87</f>
        <v>155833.33333333334</v>
      </c>
      <c r="E88" s="122"/>
      <c r="F88" s="122"/>
      <c r="G88" s="123"/>
      <c r="H88" s="123"/>
      <c r="I88" s="129"/>
      <c r="J88" s="131"/>
      <c r="K88" s="131"/>
      <c r="L88" s="126"/>
      <c r="M88" s="130"/>
      <c r="N88" s="124"/>
      <c r="O88" s="124"/>
      <c r="Q88" s="129"/>
    </row>
    <row r="89" spans="1:17" ht="21.6" thickTop="1" thickBot="1">
      <c r="A89" s="545" t="s">
        <v>623</v>
      </c>
      <c r="B89" s="514"/>
      <c r="C89" s="546"/>
      <c r="D89" s="542">
        <f>+D88/D82</f>
        <v>1.038888888888889</v>
      </c>
      <c r="E89" s="122"/>
      <c r="F89" s="122"/>
      <c r="G89" s="123"/>
      <c r="H89" s="123"/>
      <c r="I89" s="129"/>
      <c r="J89" s="131"/>
      <c r="K89" s="131"/>
      <c r="L89" s="126"/>
      <c r="M89" s="130"/>
      <c r="N89" s="124"/>
      <c r="O89" s="124"/>
      <c r="Q89" s="129"/>
    </row>
    <row r="90" spans="1:17" ht="21.6" thickTop="1" thickBot="1">
      <c r="A90" s="561" t="s">
        <v>624</v>
      </c>
      <c r="B90" s="509"/>
      <c r="C90" s="509"/>
      <c r="D90" s="564">
        <v>0.1</v>
      </c>
      <c r="E90" s="122"/>
      <c r="F90" s="122"/>
      <c r="G90" s="123"/>
      <c r="H90" s="123"/>
      <c r="I90" s="129"/>
      <c r="J90" s="131"/>
      <c r="K90" s="131"/>
      <c r="L90" s="126"/>
      <c r="M90" s="130"/>
      <c r="N90" s="124"/>
      <c r="O90" s="124"/>
      <c r="Q90" s="129"/>
    </row>
    <row r="91" spans="1:17" ht="21.6" thickTop="1" thickBot="1">
      <c r="A91" s="615" t="s">
        <v>625</v>
      </c>
      <c r="B91" s="616"/>
      <c r="C91" s="616"/>
      <c r="D91" s="566">
        <f>+D89*D90</f>
        <v>0.10388888888888891</v>
      </c>
      <c r="E91" s="122"/>
      <c r="F91" s="122"/>
      <c r="G91" s="123"/>
      <c r="H91" s="123"/>
      <c r="I91" s="129"/>
      <c r="J91" s="131"/>
      <c r="K91" s="131"/>
      <c r="L91" s="126"/>
      <c r="M91" s="130"/>
      <c r="N91" s="124"/>
      <c r="O91" s="124"/>
      <c r="Q91" s="129"/>
    </row>
    <row r="92" spans="1:17" ht="21.6" thickTop="1" thickBot="1">
      <c r="A92" s="562" t="s">
        <v>626</v>
      </c>
      <c r="B92" s="563"/>
      <c r="C92" s="565"/>
      <c r="D92" s="1043">
        <f>+D89+D91</f>
        <v>1.1427777777777779</v>
      </c>
      <c r="E92" s="122"/>
      <c r="F92" s="122"/>
      <c r="G92" s="123"/>
      <c r="H92" s="123"/>
      <c r="I92" s="129"/>
      <c r="J92" s="131"/>
      <c r="K92" s="131"/>
      <c r="L92" s="126"/>
      <c r="M92" s="130"/>
      <c r="N92" s="124"/>
      <c r="O92" s="124"/>
      <c r="Q92" s="129"/>
    </row>
    <row r="93" spans="1:17" ht="21" thickTop="1">
      <c r="A93" s="300"/>
      <c r="B93" s="100"/>
      <c r="C93" s="100"/>
      <c r="D93" s="533"/>
      <c r="E93" s="122"/>
      <c r="F93" s="122"/>
      <c r="G93" s="123"/>
      <c r="H93" s="123"/>
      <c r="I93" s="129"/>
      <c r="J93" s="131"/>
      <c r="K93" s="131"/>
      <c r="L93" s="126"/>
      <c r="M93" s="130"/>
      <c r="N93" s="124"/>
      <c r="O93" s="124"/>
      <c r="Q93" s="129"/>
    </row>
    <row r="94" spans="1:17" ht="22.8">
      <c r="A94" s="27" t="s">
        <v>859</v>
      </c>
      <c r="B94" s="17"/>
      <c r="C94" s="1"/>
      <c r="D94" s="1"/>
      <c r="E94" s="1"/>
      <c r="F94" s="1"/>
      <c r="G94" s="1"/>
      <c r="H94" s="1"/>
      <c r="I94" s="1"/>
      <c r="J94" s="1"/>
      <c r="L94" s="1"/>
      <c r="M94" s="1"/>
      <c r="N94" s="1"/>
      <c r="O94" s="1"/>
      <c r="Q94" s="129"/>
    </row>
    <row r="95" spans="1:17" ht="21" thickBot="1">
      <c r="A95" s="1"/>
      <c r="B95" s="1"/>
      <c r="C95" s="1"/>
      <c r="D95" s="1"/>
      <c r="E95" s="1"/>
      <c r="F95" s="1"/>
      <c r="G95" s="1"/>
      <c r="H95" s="1"/>
      <c r="I95" s="1"/>
      <c r="J95" s="1"/>
      <c r="L95" s="1"/>
      <c r="M95" s="1"/>
      <c r="N95" s="1"/>
      <c r="O95" s="1"/>
      <c r="Q95" s="129"/>
    </row>
    <row r="96" spans="1:17" ht="21" thickTop="1">
      <c r="A96" s="20" t="s">
        <v>362</v>
      </c>
      <c r="B96" s="466" t="s">
        <v>898</v>
      </c>
      <c r="C96" s="475"/>
      <c r="D96" s="570" t="s">
        <v>559</v>
      </c>
      <c r="E96" s="120" t="s">
        <v>561</v>
      </c>
      <c r="F96" s="501" t="s">
        <v>628</v>
      </c>
      <c r="G96" s="571" t="s">
        <v>377</v>
      </c>
      <c r="H96" s="140" t="s">
        <v>378</v>
      </c>
      <c r="I96" s="568" t="s">
        <v>629</v>
      </c>
      <c r="J96" s="574" t="s">
        <v>630</v>
      </c>
      <c r="K96" s="137" t="s">
        <v>382</v>
      </c>
      <c r="L96" s="104" t="s">
        <v>365</v>
      </c>
      <c r="M96" s="100"/>
      <c r="O96" s="129"/>
    </row>
    <row r="97" spans="1:17" ht="20.399999999999999">
      <c r="A97" s="23"/>
      <c r="B97" s="22"/>
      <c r="C97" s="567"/>
      <c r="D97" s="569" t="s">
        <v>560</v>
      </c>
      <c r="E97" s="103" t="s">
        <v>370</v>
      </c>
      <c r="F97" s="569" t="s">
        <v>562</v>
      </c>
      <c r="G97" s="572" t="s">
        <v>379</v>
      </c>
      <c r="H97" s="481" t="s">
        <v>581</v>
      </c>
      <c r="I97" s="573" t="s">
        <v>368</v>
      </c>
      <c r="J97" s="575" t="s">
        <v>368</v>
      </c>
      <c r="K97" s="1096" t="s">
        <v>822</v>
      </c>
      <c r="L97" s="105" t="s">
        <v>369</v>
      </c>
      <c r="M97" s="100"/>
      <c r="O97" s="129"/>
    </row>
    <row r="98" spans="1:17" ht="20.399999999999999">
      <c r="A98" s="23"/>
      <c r="B98" s="23"/>
      <c r="C98" s="470"/>
      <c r="D98" s="102"/>
      <c r="E98" s="100"/>
      <c r="F98" s="102"/>
      <c r="G98" s="100"/>
      <c r="H98" s="481" t="s">
        <v>828</v>
      </c>
      <c r="I98" s="569" t="s">
        <v>586</v>
      </c>
      <c r="J98" s="610" t="s">
        <v>637</v>
      </c>
      <c r="K98" s="25"/>
      <c r="L98" s="105" t="s">
        <v>372</v>
      </c>
      <c r="M98" s="100"/>
      <c r="O98" s="129"/>
    </row>
    <row r="99" spans="1:17" ht="21" thickBot="1">
      <c r="A99" s="23"/>
      <c r="B99" s="23"/>
      <c r="C99" s="470"/>
      <c r="D99" s="102"/>
      <c r="E99" s="100"/>
      <c r="F99" s="102"/>
      <c r="G99" s="100"/>
      <c r="H99" s="102"/>
      <c r="I99" s="138"/>
      <c r="J99" s="145"/>
      <c r="K99" s="25"/>
      <c r="L99" s="105"/>
      <c r="M99" s="100"/>
      <c r="O99" s="129"/>
    </row>
    <row r="100" spans="1:17" ht="21" thickTop="1">
      <c r="A100" s="576">
        <v>1</v>
      </c>
      <c r="B100" s="577" t="s">
        <v>572</v>
      </c>
      <c r="C100" s="578"/>
      <c r="D100" s="579">
        <v>22</v>
      </c>
      <c r="E100" s="580">
        <v>78</v>
      </c>
      <c r="F100" s="579">
        <f t="shared" ref="F100:F106" si="0">+D100+E100</f>
        <v>100</v>
      </c>
      <c r="G100" s="581">
        <v>19.59</v>
      </c>
      <c r="H100" s="582">
        <v>4</v>
      </c>
      <c r="I100" s="583">
        <v>0.1</v>
      </c>
      <c r="J100" s="1044">
        <f>D120</f>
        <v>0.13530927835051548</v>
      </c>
      <c r="K100" s="553">
        <v>0.85</v>
      </c>
      <c r="L100" s="531">
        <f>(360*24*K100)</f>
        <v>7344</v>
      </c>
      <c r="M100" s="141" t="s">
        <v>585</v>
      </c>
      <c r="O100" s="129"/>
    </row>
    <row r="101" spans="1:17" ht="20.399999999999999">
      <c r="A101" s="584">
        <v>2</v>
      </c>
      <c r="B101" s="585" t="s">
        <v>627</v>
      </c>
      <c r="C101" s="586"/>
      <c r="D101" s="587">
        <v>18</v>
      </c>
      <c r="E101" s="588">
        <v>35</v>
      </c>
      <c r="F101" s="589">
        <f t="shared" si="0"/>
        <v>53</v>
      </c>
      <c r="G101" s="590">
        <v>14.5</v>
      </c>
      <c r="H101" s="591">
        <v>2</v>
      </c>
      <c r="I101" s="592">
        <v>7.4999999999999997E-2</v>
      </c>
      <c r="J101" s="1045">
        <f>D120</f>
        <v>0.13530927835051548</v>
      </c>
      <c r="K101" s="558">
        <v>0.85</v>
      </c>
      <c r="L101" s="532">
        <f t="shared" ref="L101:L106" si="1">360*24*K101</f>
        <v>7344</v>
      </c>
      <c r="M101" s="141"/>
      <c r="O101" s="129"/>
    </row>
    <row r="102" spans="1:17" ht="20.399999999999999">
      <c r="A102" s="584">
        <v>3</v>
      </c>
      <c r="B102" s="585" t="s">
        <v>830</v>
      </c>
      <c r="C102" s="586"/>
      <c r="D102" s="587">
        <v>23.63</v>
      </c>
      <c r="E102" s="588">
        <v>57.65</v>
      </c>
      <c r="F102" s="589">
        <f t="shared" si="0"/>
        <v>81.28</v>
      </c>
      <c r="G102" s="590">
        <v>14.5</v>
      </c>
      <c r="H102" s="591"/>
      <c r="I102" s="592">
        <v>7.0000000000000007E-2</v>
      </c>
      <c r="J102" s="1045">
        <f>+J101</f>
        <v>0.13530927835051548</v>
      </c>
      <c r="K102" s="558">
        <v>0.85</v>
      </c>
      <c r="L102" s="532">
        <f t="shared" si="1"/>
        <v>7344</v>
      </c>
      <c r="M102" s="141"/>
      <c r="O102" s="129"/>
    </row>
    <row r="103" spans="1:17" ht="20.399999999999999">
      <c r="A103" s="584">
        <v>3</v>
      </c>
      <c r="B103" s="585" t="s">
        <v>810</v>
      </c>
      <c r="C103" s="586"/>
      <c r="D103" s="587">
        <v>27</v>
      </c>
      <c r="E103" s="588">
        <v>54.28</v>
      </c>
      <c r="F103" s="589">
        <f t="shared" si="0"/>
        <v>81.28</v>
      </c>
      <c r="G103" s="590">
        <v>13.76</v>
      </c>
      <c r="H103" s="591"/>
      <c r="I103" s="592">
        <v>0.189</v>
      </c>
      <c r="J103" s="1045">
        <f>D120</f>
        <v>0.13530927835051548</v>
      </c>
      <c r="K103" s="558">
        <v>0.85</v>
      </c>
      <c r="L103" s="532">
        <f t="shared" si="1"/>
        <v>7344</v>
      </c>
      <c r="M103" s="141"/>
      <c r="O103" s="129"/>
    </row>
    <row r="104" spans="1:17" ht="20.399999999999999">
      <c r="A104" s="593">
        <v>4</v>
      </c>
      <c r="B104" s="1085" t="s">
        <v>811</v>
      </c>
      <c r="C104" s="594"/>
      <c r="D104" s="1212">
        <v>27</v>
      </c>
      <c r="E104" s="1485">
        <v>54.28</v>
      </c>
      <c r="F104" s="589">
        <f t="shared" si="0"/>
        <v>81.28</v>
      </c>
      <c r="G104" s="1454">
        <v>14.5</v>
      </c>
      <c r="H104" s="1455"/>
      <c r="I104" s="1456">
        <v>0.09</v>
      </c>
      <c r="J104" s="1045">
        <f>D120</f>
        <v>0.13530927835051548</v>
      </c>
      <c r="K104" s="558">
        <v>0.8</v>
      </c>
      <c r="L104" s="532">
        <f t="shared" si="1"/>
        <v>6912</v>
      </c>
      <c r="M104" s="130"/>
      <c r="N104" s="124"/>
      <c r="O104" s="124"/>
      <c r="Q104" s="129"/>
    </row>
    <row r="105" spans="1:17" ht="20.399999999999999">
      <c r="A105" s="1210">
        <v>6</v>
      </c>
      <c r="B105" s="1211" t="s">
        <v>812</v>
      </c>
      <c r="C105" s="594"/>
      <c r="D105" s="1486">
        <v>22.47</v>
      </c>
      <c r="E105" s="1487">
        <v>58.81</v>
      </c>
      <c r="F105" s="1488">
        <f t="shared" si="0"/>
        <v>81.28</v>
      </c>
      <c r="G105" s="1214">
        <v>14.5</v>
      </c>
      <c r="H105" s="1213"/>
      <c r="I105" s="1215">
        <v>0.08</v>
      </c>
      <c r="J105" s="1045">
        <f>D120</f>
        <v>0.13530927835051548</v>
      </c>
      <c r="K105" s="558">
        <v>0.8</v>
      </c>
      <c r="L105" s="532">
        <f t="shared" si="1"/>
        <v>6912</v>
      </c>
      <c r="M105" s="130"/>
      <c r="N105" s="124"/>
      <c r="O105" s="124"/>
      <c r="Q105" s="129"/>
    </row>
    <row r="106" spans="1:17" ht="21" thickBot="1">
      <c r="A106" s="595">
        <v>7</v>
      </c>
      <c r="B106" s="1086" t="s">
        <v>813</v>
      </c>
      <c r="C106" s="596"/>
      <c r="D106" s="1489">
        <v>27.2</v>
      </c>
      <c r="E106" s="1490">
        <v>54.08</v>
      </c>
      <c r="F106" s="1491">
        <f t="shared" si="0"/>
        <v>81.28</v>
      </c>
      <c r="G106" s="1217">
        <v>14.5</v>
      </c>
      <c r="H106" s="1216"/>
      <c r="I106" s="1218">
        <v>0.08</v>
      </c>
      <c r="J106" s="1219">
        <f>D120</f>
        <v>0.13530927835051548</v>
      </c>
      <c r="K106" s="602">
        <v>0.8</v>
      </c>
      <c r="L106" s="603">
        <f t="shared" si="1"/>
        <v>6912</v>
      </c>
      <c r="M106" s="130"/>
      <c r="N106" s="124"/>
      <c r="O106" s="124"/>
      <c r="Q106" s="129"/>
    </row>
    <row r="107" spans="1:17" ht="21" thickTop="1">
      <c r="A107" s="300"/>
      <c r="B107" s="100"/>
      <c r="C107" s="100"/>
      <c r="D107" s="533"/>
      <c r="E107" s="122"/>
      <c r="F107" s="122"/>
      <c r="G107" s="123"/>
      <c r="H107" s="123"/>
      <c r="I107" s="129"/>
      <c r="J107" s="131"/>
      <c r="K107" s="131"/>
      <c r="L107" s="126"/>
      <c r="M107" s="130"/>
      <c r="N107" s="124"/>
      <c r="O107" s="124"/>
      <c r="Q107" s="129"/>
    </row>
    <row r="108" spans="1:17" ht="20.399999999999999">
      <c r="A108" s="3" t="s">
        <v>631</v>
      </c>
      <c r="B108" s="100"/>
      <c r="C108" s="100"/>
      <c r="D108" s="128"/>
      <c r="E108" s="122"/>
      <c r="F108" s="122"/>
      <c r="G108" s="123"/>
      <c r="H108" s="123"/>
      <c r="I108" s="129"/>
      <c r="J108" s="131"/>
      <c r="K108" s="131"/>
      <c r="L108" s="126"/>
      <c r="M108" s="130"/>
      <c r="N108" s="124"/>
      <c r="O108" s="124"/>
      <c r="Q108" s="129"/>
    </row>
    <row r="109" spans="1:17" ht="21" thickBot="1">
      <c r="B109" s="100"/>
      <c r="C109" s="100"/>
      <c r="D109" s="128"/>
      <c r="E109" s="122"/>
      <c r="F109" s="122"/>
      <c r="G109" s="123"/>
      <c r="H109" s="123"/>
      <c r="I109" s="129"/>
      <c r="J109" s="131"/>
      <c r="K109" s="131"/>
      <c r="L109" s="126"/>
      <c r="M109" s="130"/>
      <c r="N109" s="124"/>
      <c r="O109" s="124"/>
      <c r="Q109" s="129"/>
    </row>
    <row r="110" spans="1:17" ht="21.6" thickTop="1" thickBot="1">
      <c r="A110" s="507" t="s">
        <v>616</v>
      </c>
      <c r="B110" s="508"/>
      <c r="C110" s="508"/>
      <c r="D110" s="539">
        <v>50000</v>
      </c>
      <c r="E110" s="122"/>
      <c r="F110" s="122"/>
      <c r="G110" s="123"/>
      <c r="H110" s="123"/>
      <c r="I110" s="129"/>
      <c r="J110" s="131"/>
      <c r="K110" s="131"/>
      <c r="L110" s="126"/>
      <c r="M110" s="130"/>
      <c r="N110" s="124"/>
      <c r="O110" s="124"/>
      <c r="Q110" s="129"/>
    </row>
    <row r="111" spans="1:17" ht="21.6" thickTop="1" thickBot="1">
      <c r="A111" s="534" t="s">
        <v>617</v>
      </c>
      <c r="B111" s="301"/>
      <c r="C111" s="301"/>
      <c r="D111" s="547">
        <v>250000</v>
      </c>
      <c r="E111" s="122"/>
      <c r="F111" s="122"/>
      <c r="G111" s="123"/>
      <c r="H111" s="123"/>
      <c r="I111" s="129"/>
      <c r="J111" s="131"/>
      <c r="K111" s="131"/>
      <c r="L111" s="126"/>
      <c r="M111" s="130"/>
      <c r="N111" s="124"/>
      <c r="O111" s="124"/>
      <c r="Q111" s="129"/>
    </row>
    <row r="112" spans="1:17" ht="21" thickTop="1">
      <c r="A112" s="537" t="s">
        <v>632</v>
      </c>
      <c r="B112" s="508"/>
      <c r="C112" s="508"/>
      <c r="D112" s="604"/>
      <c r="E112" s="122"/>
      <c r="F112" s="122"/>
      <c r="G112" s="123"/>
      <c r="H112" s="123"/>
      <c r="I112" s="129"/>
      <c r="J112" s="131"/>
      <c r="K112" s="131"/>
      <c r="L112" s="126"/>
      <c r="M112" s="130"/>
      <c r="N112" s="124"/>
      <c r="O112" s="124"/>
      <c r="Q112" s="129"/>
    </row>
    <row r="113" spans="1:17" ht="20.399999999999999">
      <c r="A113" s="540" t="s">
        <v>619</v>
      </c>
      <c r="B113" s="513"/>
      <c r="C113" s="541"/>
      <c r="D113" s="613">
        <f>+D115*F85</f>
        <v>6374.3866806328906</v>
      </c>
      <c r="E113" s="122"/>
      <c r="F113" s="122"/>
      <c r="G113" s="123"/>
      <c r="H113" s="123"/>
      <c r="I113" s="129"/>
      <c r="J113" s="131"/>
      <c r="K113" s="131"/>
      <c r="L113" s="126"/>
      <c r="M113" s="130"/>
      <c r="N113" s="124"/>
      <c r="O113" s="124"/>
      <c r="Q113" s="129"/>
    </row>
    <row r="114" spans="1:17" ht="20.399999999999999">
      <c r="A114" s="540" t="s">
        <v>620</v>
      </c>
      <c r="B114" s="513"/>
      <c r="C114" s="541"/>
      <c r="D114" s="614">
        <f>+D115*F86</f>
        <v>25842.108164727932</v>
      </c>
      <c r="E114" s="122"/>
      <c r="F114" s="122"/>
      <c r="G114" s="123"/>
      <c r="H114" s="123"/>
      <c r="I114" s="129"/>
      <c r="J114" s="131"/>
      <c r="K114" s="131"/>
      <c r="L114" s="126"/>
      <c r="M114" s="130"/>
      <c r="N114" s="124"/>
      <c r="O114" s="124"/>
      <c r="Q114" s="129"/>
    </row>
    <row r="115" spans="1:17" ht="21" thickBot="1">
      <c r="A115" s="534" t="s">
        <v>621</v>
      </c>
      <c r="B115" s="301"/>
      <c r="C115" s="301"/>
      <c r="D115" s="612">
        <f>3500000/108.64</f>
        <v>32216.494845360823</v>
      </c>
      <c r="E115" s="122"/>
      <c r="F115" s="122"/>
      <c r="G115" s="123"/>
      <c r="H115" s="123"/>
      <c r="I115" s="129"/>
      <c r="J115" s="131"/>
      <c r="K115" s="131"/>
      <c r="L115" s="126"/>
      <c r="M115" s="130"/>
      <c r="N115" s="124"/>
      <c r="O115" s="124"/>
      <c r="Q115" s="129"/>
    </row>
    <row r="116" spans="1:17" ht="21.6" thickTop="1" thickBot="1">
      <c r="A116" s="543" t="s">
        <v>622</v>
      </c>
      <c r="B116" s="511"/>
      <c r="C116" s="544"/>
      <c r="D116" s="538">
        <f>+D110/D111*D115</f>
        <v>6443.2989690721652</v>
      </c>
      <c r="E116" s="122"/>
      <c r="F116" s="122"/>
      <c r="G116" s="123"/>
      <c r="H116" s="123"/>
      <c r="I116" s="129"/>
      <c r="J116" s="131"/>
      <c r="K116" s="131"/>
      <c r="L116" s="126"/>
      <c r="M116" s="130"/>
      <c r="N116" s="124"/>
      <c r="O116" s="124"/>
      <c r="Q116" s="129"/>
    </row>
    <row r="117" spans="1:17" ht="21.6" thickTop="1" thickBot="1">
      <c r="A117" s="545" t="s">
        <v>633</v>
      </c>
      <c r="B117" s="514"/>
      <c r="C117" s="546"/>
      <c r="D117" s="542">
        <f>+D116/D110</f>
        <v>0.12886597938144331</v>
      </c>
      <c r="E117" s="122"/>
      <c r="F117" s="122"/>
      <c r="G117" s="123"/>
      <c r="H117" s="123"/>
      <c r="I117" s="129"/>
      <c r="J117" s="131"/>
      <c r="K117" s="131"/>
      <c r="L117" s="126"/>
      <c r="M117" s="130"/>
      <c r="N117" s="124"/>
      <c r="O117" s="124"/>
      <c r="Q117" s="129"/>
    </row>
    <row r="118" spans="1:17" ht="21.6" thickTop="1" thickBot="1">
      <c r="A118" s="561" t="s">
        <v>624</v>
      </c>
      <c r="B118" s="509"/>
      <c r="C118" s="509"/>
      <c r="D118" s="564">
        <v>0.05</v>
      </c>
      <c r="E118" s="122"/>
      <c r="F118" s="122"/>
      <c r="G118" s="123"/>
      <c r="H118" s="123"/>
      <c r="I118" s="129"/>
      <c r="J118" s="131"/>
      <c r="K118" s="131"/>
      <c r="L118" s="126"/>
      <c r="M118" s="130"/>
      <c r="N118" s="124"/>
      <c r="O118" s="124"/>
      <c r="Q118" s="129"/>
    </row>
    <row r="119" spans="1:17" ht="21.6" thickTop="1" thickBot="1">
      <c r="A119" s="615" t="s">
        <v>643</v>
      </c>
      <c r="B119" s="616"/>
      <c r="C119" s="616"/>
      <c r="D119" s="566">
        <f>+D117*D118</f>
        <v>6.4432989690721663E-3</v>
      </c>
      <c r="E119" s="122"/>
      <c r="F119" s="122"/>
      <c r="G119" s="123"/>
      <c r="H119" s="123"/>
      <c r="I119" s="129"/>
      <c r="J119" s="131"/>
      <c r="K119" s="131"/>
      <c r="L119" s="126"/>
      <c r="M119" s="130"/>
      <c r="N119" s="124"/>
      <c r="O119" s="124"/>
      <c r="Q119" s="129"/>
    </row>
    <row r="120" spans="1:17" ht="21.6" thickTop="1" thickBot="1">
      <c r="A120" s="562" t="s">
        <v>644</v>
      </c>
      <c r="B120" s="563"/>
      <c r="C120" s="565"/>
      <c r="D120" s="1043">
        <f>+D117+D119</f>
        <v>0.13530927835051548</v>
      </c>
      <c r="E120" s="122"/>
      <c r="F120" s="122"/>
      <c r="G120" s="123"/>
      <c r="H120" s="123"/>
      <c r="I120" s="129"/>
      <c r="J120" s="131"/>
      <c r="K120" s="131"/>
      <c r="L120" s="126"/>
      <c r="M120" s="130"/>
      <c r="N120" s="124"/>
      <c r="O120" s="124"/>
      <c r="Q120" s="129"/>
    </row>
    <row r="121" spans="1:17" ht="21" thickTop="1">
      <c r="A121" s="300"/>
      <c r="B121" s="100"/>
      <c r="C121" s="100"/>
      <c r="D121" s="533"/>
      <c r="E121" s="122"/>
      <c r="F121" s="122"/>
      <c r="G121" s="123"/>
      <c r="H121" s="123"/>
      <c r="I121" s="129"/>
      <c r="J121" s="131"/>
      <c r="K121" s="131"/>
      <c r="L121" s="126"/>
      <c r="M121" s="130"/>
      <c r="N121" s="124"/>
      <c r="O121" s="124"/>
      <c r="Q121" s="129"/>
    </row>
    <row r="122" spans="1:17" ht="22.8">
      <c r="A122" s="27" t="s">
        <v>860</v>
      </c>
      <c r="B122" s="1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24"/>
      <c r="Q122" s="129"/>
    </row>
    <row r="123" spans="1:17" ht="21" thickBot="1">
      <c r="A123" s="1"/>
      <c r="B123" s="17"/>
      <c r="C123" s="1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24"/>
      <c r="Q123" s="129"/>
    </row>
    <row r="124" spans="1:17" ht="21" thickTop="1">
      <c r="A124" s="20" t="s">
        <v>380</v>
      </c>
      <c r="B124" s="466" t="s">
        <v>366</v>
      </c>
      <c r="C124" s="605" t="s">
        <v>635</v>
      </c>
      <c r="D124" s="568" t="s">
        <v>909</v>
      </c>
      <c r="E124" s="607" t="s">
        <v>634</v>
      </c>
      <c r="F124" s="20" t="s">
        <v>381</v>
      </c>
      <c r="G124" s="501" t="s">
        <v>629</v>
      </c>
      <c r="H124" s="605" t="s">
        <v>630</v>
      </c>
      <c r="I124" s="104" t="s">
        <v>382</v>
      </c>
      <c r="J124" s="104" t="s">
        <v>365</v>
      </c>
      <c r="O124" s="124"/>
      <c r="Q124" s="129"/>
    </row>
    <row r="125" spans="1:17" ht="20.399999999999999">
      <c r="A125" s="23"/>
      <c r="B125" s="22"/>
      <c r="C125" s="606" t="s">
        <v>566</v>
      </c>
      <c r="D125" s="481" t="s">
        <v>907</v>
      </c>
      <c r="E125" s="608" t="s">
        <v>367</v>
      </c>
      <c r="F125" s="23" t="s">
        <v>383</v>
      </c>
      <c r="G125" s="573" t="s">
        <v>368</v>
      </c>
      <c r="H125" s="427" t="s">
        <v>368</v>
      </c>
      <c r="I125" s="105" t="s">
        <v>384</v>
      </c>
      <c r="J125" s="105" t="s">
        <v>369</v>
      </c>
      <c r="O125" s="124"/>
      <c r="Q125" s="129"/>
    </row>
    <row r="126" spans="1:17" ht="20.399999999999999">
      <c r="A126" s="23"/>
      <c r="B126" s="22"/>
      <c r="C126" s="606"/>
      <c r="D126" s="481" t="s">
        <v>640</v>
      </c>
      <c r="E126" s="608"/>
      <c r="F126" s="23"/>
      <c r="G126" s="573"/>
      <c r="H126" s="427"/>
      <c r="I126" s="105"/>
      <c r="J126" s="105"/>
      <c r="O126" s="124"/>
      <c r="Q126" s="129"/>
    </row>
    <row r="127" spans="1:17" ht="21" thickBot="1">
      <c r="A127" s="23"/>
      <c r="B127" s="22"/>
      <c r="C127" s="606" t="s">
        <v>636</v>
      </c>
      <c r="D127" s="481" t="s">
        <v>908</v>
      </c>
      <c r="E127" s="609" t="s">
        <v>370</v>
      </c>
      <c r="F127" s="23"/>
      <c r="G127" s="611" t="s">
        <v>613</v>
      </c>
      <c r="H127" s="606" t="s">
        <v>639</v>
      </c>
      <c r="I127" s="105"/>
      <c r="J127" s="105" t="s">
        <v>385</v>
      </c>
      <c r="O127" s="124"/>
      <c r="Q127" s="129"/>
    </row>
    <row r="128" spans="1:17" ht="21" thickTop="1">
      <c r="A128" s="1288" t="s">
        <v>373</v>
      </c>
      <c r="B128" s="1289" t="s">
        <v>563</v>
      </c>
      <c r="C128" s="1290"/>
      <c r="D128" s="551"/>
      <c r="E128" s="1291">
        <v>55</v>
      </c>
      <c r="F128" s="1290">
        <v>57</v>
      </c>
      <c r="G128" s="1292">
        <f>4/3.75</f>
        <v>1.0666666666666667</v>
      </c>
      <c r="H128" s="1293">
        <f>D145</f>
        <v>1.08</v>
      </c>
      <c r="I128" s="1294">
        <v>0.86</v>
      </c>
      <c r="J128" s="531">
        <f t="shared" ref="J128:J133" si="2">8760*I128</f>
        <v>7533.5999999999995</v>
      </c>
      <c r="O128" s="124"/>
      <c r="Q128" s="129"/>
    </row>
    <row r="129" spans="1:17" ht="20.399999999999999">
      <c r="A129" s="1295" t="s">
        <v>374</v>
      </c>
      <c r="B129" s="1296" t="s">
        <v>564</v>
      </c>
      <c r="C129" s="559"/>
      <c r="D129" s="1297"/>
      <c r="E129" s="1298">
        <v>58</v>
      </c>
      <c r="F129" s="597">
        <v>77</v>
      </c>
      <c r="G129" s="1299">
        <f>4/3.75</f>
        <v>1.0666666666666667</v>
      </c>
      <c r="H129" s="1300">
        <f>D145</f>
        <v>1.08</v>
      </c>
      <c r="I129" s="1301">
        <v>0.86</v>
      </c>
      <c r="J129" s="1302">
        <f t="shared" si="2"/>
        <v>7533.5999999999995</v>
      </c>
      <c r="O129" s="124"/>
      <c r="Q129" s="129"/>
    </row>
    <row r="130" spans="1:17" ht="20.399999999999999">
      <c r="A130" s="1295" t="s">
        <v>375</v>
      </c>
      <c r="B130" s="597" t="s">
        <v>565</v>
      </c>
      <c r="C130" s="559"/>
      <c r="D130" s="1297"/>
      <c r="E130" s="1298">
        <v>62</v>
      </c>
      <c r="F130" s="597"/>
      <c r="G130" s="1299">
        <f>4/3.75</f>
        <v>1.0666666666666667</v>
      </c>
      <c r="H130" s="1300">
        <f>D145</f>
        <v>1.08</v>
      </c>
      <c r="I130" s="1301">
        <v>0.86</v>
      </c>
      <c r="J130" s="1302">
        <f t="shared" si="2"/>
        <v>7533.5999999999995</v>
      </c>
      <c r="O130" s="124"/>
      <c r="Q130" s="129"/>
    </row>
    <row r="131" spans="1:17" ht="20.399999999999999">
      <c r="A131" s="1295" t="s">
        <v>376</v>
      </c>
      <c r="B131" s="597" t="s">
        <v>566</v>
      </c>
      <c r="C131" s="557">
        <v>100</v>
      </c>
      <c r="D131" s="1297"/>
      <c r="E131" s="1298">
        <v>64</v>
      </c>
      <c r="F131" s="597"/>
      <c r="G131" s="1299">
        <f>4/3.75</f>
        <v>1.0666666666666667</v>
      </c>
      <c r="H131" s="1300">
        <f>D145</f>
        <v>1.08</v>
      </c>
      <c r="I131" s="1301">
        <v>0.86</v>
      </c>
      <c r="J131" s="1302">
        <f t="shared" si="2"/>
        <v>7533.5999999999995</v>
      </c>
      <c r="O131" s="124"/>
      <c r="Q131" s="129"/>
    </row>
    <row r="132" spans="1:17" ht="20.399999999999999">
      <c r="A132" s="1469" t="s">
        <v>857</v>
      </c>
      <c r="B132" s="1470" t="s">
        <v>577</v>
      </c>
      <c r="C132" s="1471"/>
      <c r="D132" s="1472">
        <f>passengers!I153</f>
        <v>9.1363900204926018</v>
      </c>
      <c r="E132" s="1470">
        <v>40</v>
      </c>
      <c r="F132" s="1473">
        <v>60</v>
      </c>
      <c r="G132" s="1474">
        <v>2</v>
      </c>
      <c r="H132" s="1468">
        <f>D145</f>
        <v>1.08</v>
      </c>
      <c r="I132" s="1475">
        <v>0.9</v>
      </c>
      <c r="J132" s="1476">
        <f t="shared" si="2"/>
        <v>7884</v>
      </c>
      <c r="O132" s="124"/>
      <c r="Q132" s="129"/>
    </row>
    <row r="133" spans="1:17" ht="21" thickBot="1">
      <c r="A133" s="1303" t="s">
        <v>905</v>
      </c>
      <c r="B133" s="1304" t="s">
        <v>906</v>
      </c>
      <c r="C133" s="1305"/>
      <c r="D133" s="1306">
        <v>30</v>
      </c>
      <c r="E133" s="1304">
        <v>50</v>
      </c>
      <c r="F133" s="1307">
        <v>60</v>
      </c>
      <c r="G133" s="1308">
        <v>2</v>
      </c>
      <c r="H133" s="1309">
        <f>D145/2</f>
        <v>0.54</v>
      </c>
      <c r="I133" s="1310">
        <v>0.9</v>
      </c>
      <c r="J133" s="1311">
        <f t="shared" si="2"/>
        <v>7884</v>
      </c>
      <c r="O133" s="124"/>
      <c r="Q133" s="129"/>
    </row>
    <row r="134" spans="1:17" ht="21.6" thickTop="1" thickBot="1">
      <c r="A134" s="300"/>
      <c r="B134" s="100"/>
      <c r="C134" s="100"/>
      <c r="D134" s="533"/>
      <c r="E134" s="122"/>
      <c r="F134" s="122"/>
      <c r="G134" s="123"/>
      <c r="H134" s="123"/>
      <c r="I134" s="129"/>
      <c r="J134" s="131"/>
      <c r="K134" s="131"/>
      <c r="L134" s="126"/>
      <c r="M134" s="130"/>
      <c r="N134" s="124"/>
      <c r="O134" s="124"/>
      <c r="Q134" s="129"/>
    </row>
    <row r="135" spans="1:17" ht="21.6" thickTop="1" thickBot="1">
      <c r="A135" s="507" t="s">
        <v>616</v>
      </c>
      <c r="B135" s="508"/>
      <c r="C135" s="508"/>
      <c r="D135" s="649">
        <v>150000</v>
      </c>
      <c r="E135" s="122"/>
      <c r="F135" s="122"/>
      <c r="G135" s="123"/>
      <c r="H135" s="123"/>
      <c r="I135" s="124"/>
      <c r="J135" s="131"/>
      <c r="K135" s="131"/>
      <c r="L135" s="126"/>
      <c r="M135" s="126"/>
      <c r="N135" s="126"/>
      <c r="O135" s="126"/>
      <c r="P135" s="126"/>
      <c r="Q135" s="100"/>
    </row>
    <row r="136" spans="1:17" ht="21.6" thickTop="1" thickBot="1">
      <c r="A136" s="545" t="s">
        <v>617</v>
      </c>
      <c r="B136" s="514"/>
      <c r="C136" s="546"/>
      <c r="D136" s="650">
        <v>250000</v>
      </c>
      <c r="E136" s="122"/>
      <c r="F136" s="122"/>
      <c r="G136" s="123"/>
      <c r="H136" s="123"/>
      <c r="I136" s="124"/>
      <c r="J136" s="131"/>
      <c r="K136" s="131"/>
      <c r="L136" s="126"/>
      <c r="M136" s="126"/>
      <c r="N136" s="126"/>
      <c r="O136" s="126"/>
      <c r="P136" s="126"/>
      <c r="Q136" s="100"/>
    </row>
    <row r="137" spans="1:17" ht="21.6" thickTop="1" thickBot="1">
      <c r="A137" s="537" t="s">
        <v>618</v>
      </c>
      <c r="B137" s="508"/>
      <c r="C137" s="508"/>
      <c r="D137" s="535"/>
      <c r="E137" s="122"/>
      <c r="F137" s="122"/>
      <c r="G137" s="123"/>
      <c r="H137" s="123"/>
      <c r="I137" s="124"/>
      <c r="J137" s="131"/>
      <c r="K137" s="131"/>
      <c r="L137" s="126"/>
      <c r="M137" s="126"/>
      <c r="N137" s="126"/>
      <c r="O137" s="126"/>
      <c r="P137" s="126"/>
      <c r="Q137" s="100"/>
    </row>
    <row r="138" spans="1:17" ht="21.6" thickTop="1" thickBot="1">
      <c r="A138" s="540" t="s">
        <v>619</v>
      </c>
      <c r="B138" s="513"/>
      <c r="C138" s="541"/>
      <c r="D138" s="649">
        <f>+D140*F85</f>
        <v>49465.240641711236</v>
      </c>
      <c r="E138" s="122"/>
      <c r="F138" s="122"/>
      <c r="G138" s="123"/>
      <c r="H138" s="123"/>
      <c r="I138" s="124"/>
      <c r="J138" s="131"/>
      <c r="K138" s="131"/>
      <c r="L138" s="126"/>
      <c r="M138" s="126"/>
      <c r="N138" s="126"/>
      <c r="O138" s="126"/>
      <c r="P138" s="126"/>
      <c r="Q138" s="100"/>
    </row>
    <row r="139" spans="1:17" ht="21.6" thickTop="1" thickBot="1">
      <c r="A139" s="540" t="s">
        <v>620</v>
      </c>
      <c r="B139" s="513"/>
      <c r="C139" s="541"/>
      <c r="D139" s="649">
        <f>+D140*F86</f>
        <v>200534.75935828878</v>
      </c>
      <c r="E139" s="122"/>
      <c r="F139" s="122"/>
      <c r="G139" s="123"/>
      <c r="H139" s="123"/>
      <c r="I139" s="124"/>
      <c r="J139" s="131"/>
      <c r="K139" s="131"/>
      <c r="L139" s="126"/>
      <c r="M139" s="126"/>
      <c r="N139" s="126"/>
      <c r="O139" s="126"/>
      <c r="P139" s="126"/>
      <c r="Q139" s="100"/>
    </row>
    <row r="140" spans="1:17" ht="21.6" thickTop="1" thickBot="1">
      <c r="A140" s="534" t="s">
        <v>621</v>
      </c>
      <c r="B140" s="301"/>
      <c r="C140" s="301"/>
      <c r="D140" s="536">
        <v>250000</v>
      </c>
      <c r="E140" s="122"/>
      <c r="F140" s="122"/>
      <c r="G140" s="123"/>
      <c r="H140" s="123"/>
      <c r="I140" s="124"/>
      <c r="J140" s="131"/>
      <c r="K140" s="131"/>
      <c r="L140" s="126"/>
      <c r="M140" s="126"/>
      <c r="N140" s="126"/>
      <c r="O140" s="126"/>
      <c r="P140" s="126"/>
      <c r="Q140" s="100"/>
    </row>
    <row r="141" spans="1:17" ht="21.6" thickTop="1" thickBot="1">
      <c r="A141" s="543" t="s">
        <v>622</v>
      </c>
      <c r="B141" s="511"/>
      <c r="C141" s="544"/>
      <c r="D141" s="538">
        <f>+D135/D136*D140</f>
        <v>150000</v>
      </c>
      <c r="E141" s="122"/>
      <c r="F141" s="122"/>
      <c r="G141" s="123"/>
      <c r="H141" s="123"/>
      <c r="I141" s="124"/>
      <c r="J141" s="131"/>
      <c r="K141" s="131"/>
      <c r="L141" s="126"/>
      <c r="M141" s="126"/>
      <c r="N141" s="126"/>
      <c r="O141" s="126"/>
      <c r="P141" s="126"/>
      <c r="Q141" s="100"/>
    </row>
    <row r="142" spans="1:17" ht="21.6" thickTop="1" thickBot="1">
      <c r="A142" s="545" t="s">
        <v>641</v>
      </c>
      <c r="B142" s="514"/>
      <c r="C142" s="546"/>
      <c r="D142" s="542">
        <f>+D141/D135</f>
        <v>1</v>
      </c>
      <c r="E142" s="122"/>
      <c r="F142" s="122"/>
      <c r="G142" s="123"/>
      <c r="H142" s="123"/>
      <c r="I142" s="124"/>
      <c r="J142" s="131"/>
      <c r="K142" s="131"/>
      <c r="L142" s="126"/>
      <c r="M142" s="126"/>
      <c r="N142" s="126"/>
      <c r="O142" s="126"/>
      <c r="P142" s="126"/>
      <c r="Q142" s="100"/>
    </row>
    <row r="143" spans="1:17" ht="21.6" thickTop="1" thickBot="1">
      <c r="A143" s="561" t="s">
        <v>624</v>
      </c>
      <c r="B143" s="509"/>
      <c r="C143" s="509"/>
      <c r="D143" s="651">
        <v>0.08</v>
      </c>
      <c r="E143" s="122"/>
      <c r="F143" s="122"/>
      <c r="G143" s="123"/>
      <c r="H143" s="123"/>
      <c r="I143" s="124"/>
      <c r="J143" s="131"/>
      <c r="K143" s="131"/>
      <c r="L143" s="126"/>
      <c r="M143" s="126"/>
      <c r="N143" s="126"/>
      <c r="O143" s="126"/>
      <c r="P143" s="126"/>
      <c r="Q143" s="100"/>
    </row>
    <row r="144" spans="1:17" ht="21.6" thickTop="1" thickBot="1">
      <c r="A144" s="615" t="s">
        <v>642</v>
      </c>
      <c r="B144" s="616"/>
      <c r="C144" s="616"/>
      <c r="D144" s="566">
        <f>+D142*D143</f>
        <v>0.08</v>
      </c>
      <c r="E144" s="122"/>
      <c r="F144" s="122"/>
      <c r="G144" s="123"/>
      <c r="H144" s="123"/>
      <c r="I144" s="124"/>
      <c r="J144" s="131"/>
      <c r="K144" s="131"/>
      <c r="L144" s="126"/>
      <c r="M144" s="126"/>
      <c r="N144" s="126"/>
      <c r="O144" s="126"/>
      <c r="P144" s="126"/>
      <c r="Q144" s="100"/>
    </row>
    <row r="145" spans="1:17" ht="21.6" thickTop="1" thickBot="1">
      <c r="A145" s="562" t="s">
        <v>645</v>
      </c>
      <c r="B145" s="563"/>
      <c r="C145" s="565"/>
      <c r="D145" s="1043">
        <f>+D142+D144</f>
        <v>1.08</v>
      </c>
      <c r="E145" s="122"/>
      <c r="F145" s="122"/>
      <c r="G145" s="123"/>
      <c r="H145" s="123"/>
      <c r="I145" s="124"/>
      <c r="J145" s="131"/>
      <c r="K145" s="131"/>
      <c r="L145" s="126"/>
      <c r="M145" s="126"/>
      <c r="N145" s="126"/>
      <c r="O145" s="126"/>
      <c r="P145" s="126"/>
      <c r="Q145" s="100"/>
    </row>
    <row r="146" spans="1:17" ht="21" thickTop="1">
      <c r="B146" s="100"/>
      <c r="C146" s="100"/>
      <c r="D146" s="130"/>
      <c r="E146" s="122"/>
      <c r="F146" s="122"/>
      <c r="G146" s="123"/>
      <c r="H146" s="123"/>
      <c r="I146" s="124"/>
      <c r="J146" s="131"/>
      <c r="K146" s="131"/>
      <c r="L146" s="126"/>
      <c r="M146" s="126"/>
      <c r="N146" s="126"/>
      <c r="O146" s="126"/>
      <c r="P146" s="126"/>
      <c r="Q146" s="100"/>
    </row>
    <row r="147" spans="1:17" ht="22.8">
      <c r="A147" s="27" t="s">
        <v>861</v>
      </c>
      <c r="B147" s="18"/>
      <c r="C147" s="1"/>
      <c r="D147" s="1"/>
      <c r="E147" s="1"/>
      <c r="F147" s="1"/>
      <c r="G147" s="1"/>
      <c r="H147" s="1"/>
      <c r="I147" s="124"/>
      <c r="J147" s="131"/>
      <c r="K147" s="131"/>
      <c r="L147" s="126"/>
      <c r="M147" s="126"/>
      <c r="N147" s="126"/>
      <c r="O147" s="126"/>
      <c r="P147" s="126"/>
      <c r="Q147" s="100"/>
    </row>
    <row r="148" spans="1:17" ht="23.4" thickBot="1">
      <c r="A148" s="27"/>
      <c r="B148" s="18"/>
      <c r="C148" s="1"/>
      <c r="D148" s="1"/>
      <c r="E148" s="1"/>
      <c r="F148" s="1"/>
      <c r="G148" s="1"/>
      <c r="H148" s="1"/>
      <c r="I148" s="124"/>
      <c r="J148" s="131"/>
      <c r="K148" s="131"/>
      <c r="L148" s="126"/>
      <c r="M148" s="126"/>
      <c r="N148" s="126"/>
      <c r="O148" s="126"/>
      <c r="P148" s="126"/>
      <c r="Q148" s="100"/>
    </row>
    <row r="149" spans="1:17" ht="21.6" thickTop="1" thickBot="1">
      <c r="A149" s="20" t="s">
        <v>386</v>
      </c>
      <c r="B149" s="634" t="s">
        <v>544</v>
      </c>
      <c r="C149" s="635" t="s">
        <v>658</v>
      </c>
      <c r="D149" s="636"/>
      <c r="E149" s="100"/>
      <c r="I149" s="124"/>
      <c r="J149" s="131"/>
      <c r="K149" s="131"/>
      <c r="L149" s="126"/>
      <c r="M149" s="126"/>
      <c r="N149" s="126"/>
      <c r="O149" s="126"/>
      <c r="P149" s="126"/>
      <c r="Q149" s="100"/>
    </row>
    <row r="150" spans="1:17" ht="21.6" thickTop="1" thickBot="1">
      <c r="A150" s="20"/>
      <c r="B150" s="139"/>
      <c r="C150" s="345" t="s">
        <v>21</v>
      </c>
      <c r="D150" s="346" t="s">
        <v>22</v>
      </c>
      <c r="E150" s="103"/>
      <c r="I150" s="124"/>
      <c r="J150" s="131"/>
      <c r="K150" s="131"/>
      <c r="L150" s="126"/>
      <c r="M150" s="126"/>
      <c r="N150" s="126"/>
      <c r="O150" s="126"/>
      <c r="P150" s="126"/>
      <c r="Q150" s="100"/>
    </row>
    <row r="151" spans="1:17" ht="21.6" thickTop="1" thickBot="1">
      <c r="A151" s="20" t="s">
        <v>387</v>
      </c>
      <c r="B151" s="637" t="s">
        <v>541</v>
      </c>
      <c r="C151" s="653">
        <f>H163</f>
        <v>372.34042553191489</v>
      </c>
      <c r="D151" s="638"/>
      <c r="E151" s="141"/>
      <c r="I151" s="124"/>
      <c r="J151" s="131"/>
      <c r="K151" s="131"/>
      <c r="L151" s="126"/>
      <c r="M151" s="126"/>
      <c r="N151" s="126"/>
      <c r="O151" s="126"/>
      <c r="P151" s="126"/>
      <c r="Q151" s="100"/>
    </row>
    <row r="152" spans="1:17" ht="21.6" thickTop="1" thickBot="1">
      <c r="A152" s="23" t="s">
        <v>388</v>
      </c>
      <c r="B152" s="143" t="s">
        <v>542</v>
      </c>
      <c r="C152" s="654">
        <f>H164</f>
        <v>58.049535603715164</v>
      </c>
      <c r="D152" s="638"/>
      <c r="E152" s="141"/>
      <c r="I152" s="124"/>
      <c r="J152" s="131"/>
      <c r="K152" s="131"/>
      <c r="L152" s="126"/>
      <c r="M152" s="126"/>
      <c r="N152" s="126"/>
      <c r="O152" s="126"/>
      <c r="P152" s="126"/>
      <c r="Q152" s="100"/>
    </row>
    <row r="153" spans="1:17" ht="21.6" thickTop="1" thickBot="1">
      <c r="A153" s="469" t="s">
        <v>389</v>
      </c>
      <c r="B153" s="639" t="s">
        <v>9</v>
      </c>
      <c r="C153" s="652">
        <f>H164</f>
        <v>58.049535603715164</v>
      </c>
      <c r="D153" s="640"/>
      <c r="E153" s="141"/>
      <c r="I153" s="124"/>
      <c r="J153" s="131"/>
      <c r="K153" s="131"/>
      <c r="L153" s="126"/>
      <c r="M153" s="126"/>
      <c r="N153" s="126"/>
      <c r="O153" s="126"/>
      <c r="P153" s="126"/>
      <c r="Q153" s="100"/>
    </row>
    <row r="154" spans="1:17" ht="21" thickTop="1">
      <c r="B154" s="100"/>
      <c r="C154" s="100"/>
      <c r="D154" s="130"/>
      <c r="E154" s="122"/>
      <c r="F154" s="122"/>
      <c r="G154" s="123"/>
      <c r="H154" s="123"/>
      <c r="I154" s="124"/>
      <c r="J154" s="131"/>
      <c r="K154" s="131"/>
      <c r="L154" s="126"/>
      <c r="M154" s="126"/>
      <c r="N154" s="126"/>
      <c r="O154" s="126"/>
      <c r="P154" s="126"/>
      <c r="Q154" s="100"/>
    </row>
    <row r="155" spans="1:17" ht="21" thickBot="1">
      <c r="B155" s="100"/>
      <c r="C155" s="100"/>
      <c r="D155" s="130"/>
      <c r="E155" s="122"/>
      <c r="F155" s="122"/>
      <c r="G155" s="123"/>
      <c r="H155" s="123"/>
      <c r="I155" s="124"/>
      <c r="J155" s="131"/>
      <c r="K155" s="131"/>
      <c r="L155" s="126"/>
      <c r="M155" s="126"/>
      <c r="N155" s="126"/>
      <c r="O155" s="126"/>
      <c r="P155" s="126"/>
      <c r="Q155" s="100"/>
    </row>
    <row r="156" spans="1:17" ht="21.6" thickTop="1" thickBot="1">
      <c r="A156" s="617" t="s">
        <v>14</v>
      </c>
      <c r="B156" s="508"/>
      <c r="C156" s="521" t="s">
        <v>659</v>
      </c>
      <c r="D156" s="423" t="s">
        <v>855</v>
      </c>
      <c r="E156" s="521" t="s">
        <v>650</v>
      </c>
      <c r="F156" s="1540" t="s">
        <v>655</v>
      </c>
      <c r="G156" s="1541"/>
      <c r="H156" s="424" t="s">
        <v>654</v>
      </c>
      <c r="I156" s="124"/>
      <c r="J156" s="131"/>
      <c r="K156" s="131"/>
      <c r="L156" s="126"/>
      <c r="M156" s="126"/>
      <c r="N156" s="126"/>
      <c r="O156" s="126"/>
      <c r="P156" s="126"/>
      <c r="Q156" s="100"/>
    </row>
    <row r="157" spans="1:17" ht="21" thickTop="1">
      <c r="A157" s="299"/>
      <c r="B157" s="100"/>
      <c r="C157" s="620" t="s">
        <v>657</v>
      </c>
      <c r="D157" s="133" t="s">
        <v>687</v>
      </c>
      <c r="E157" s="620" t="s">
        <v>657</v>
      </c>
      <c r="F157" s="641"/>
      <c r="G157" s="643"/>
      <c r="H157" s="618" t="s">
        <v>661</v>
      </c>
      <c r="I157" s="124"/>
      <c r="J157" s="131"/>
      <c r="K157" s="131"/>
      <c r="L157" s="126"/>
      <c r="M157" s="126"/>
      <c r="N157" s="126"/>
      <c r="O157" s="126"/>
      <c r="P157" s="126"/>
      <c r="Q157" s="100"/>
    </row>
    <row r="158" spans="1:17" ht="21" thickBot="1">
      <c r="A158" s="622"/>
      <c r="B158" s="301"/>
      <c r="C158" s="623"/>
      <c r="D158" s="624" t="s">
        <v>606</v>
      </c>
      <c r="E158" s="623" t="s">
        <v>586</v>
      </c>
      <c r="F158" s="625" t="s">
        <v>652</v>
      </c>
      <c r="G158" s="644" t="s">
        <v>653</v>
      </c>
      <c r="H158" s="623" t="s">
        <v>660</v>
      </c>
      <c r="I158" s="124"/>
      <c r="J158" s="131"/>
      <c r="K158" s="131"/>
      <c r="L158" s="126"/>
      <c r="M158" s="126"/>
      <c r="N158" s="126"/>
      <c r="O158" s="126"/>
      <c r="P158" s="126"/>
      <c r="Q158" s="100"/>
    </row>
    <row r="159" spans="1:17" ht="21" thickTop="1">
      <c r="A159" s="1274" t="s">
        <v>646</v>
      </c>
      <c r="B159" s="1275"/>
      <c r="C159" s="1276">
        <v>100</v>
      </c>
      <c r="D159" s="1277">
        <v>700</v>
      </c>
      <c r="E159" s="1278">
        <f>+ (C159*D159*12)/1000000</f>
        <v>0.84</v>
      </c>
      <c r="F159" s="621"/>
      <c r="G159" s="645"/>
      <c r="H159" s="619"/>
      <c r="I159" s="124"/>
      <c r="J159" s="131"/>
      <c r="K159" s="131"/>
      <c r="L159" s="126"/>
      <c r="M159" s="126"/>
      <c r="N159" s="126"/>
      <c r="O159" s="126"/>
      <c r="P159" s="126"/>
      <c r="Q159" s="100"/>
    </row>
    <row r="160" spans="1:17" ht="20.399999999999999">
      <c r="A160" s="1279" t="s">
        <v>647</v>
      </c>
      <c r="B160" s="1280"/>
      <c r="C160" s="1281">
        <v>100</v>
      </c>
      <c r="D160" s="1267">
        <v>600</v>
      </c>
      <c r="E160" s="1282">
        <f>+         (C160*D160*12)/1000000</f>
        <v>0.72</v>
      </c>
      <c r="F160" s="621"/>
      <c r="G160" s="645"/>
      <c r="H160" s="619"/>
      <c r="I160" s="124"/>
      <c r="J160" s="131"/>
      <c r="K160" s="131"/>
      <c r="L160" s="126"/>
      <c r="M160" s="126"/>
      <c r="N160" s="126"/>
      <c r="O160" s="126"/>
      <c r="P160" s="126"/>
      <c r="Q160" s="100"/>
    </row>
    <row r="161" spans="1:17" ht="20.399999999999999">
      <c r="A161" s="1279" t="s">
        <v>648</v>
      </c>
      <c r="B161" s="1280"/>
      <c r="C161" s="1281">
        <v>200</v>
      </c>
      <c r="D161" s="1267">
        <v>600</v>
      </c>
      <c r="E161" s="1282">
        <f>+    (C161*D161*12)/1000000</f>
        <v>1.44</v>
      </c>
      <c r="F161" s="621"/>
      <c r="G161" s="645"/>
      <c r="H161" s="619"/>
      <c r="I161" s="124"/>
      <c r="J161" s="131"/>
      <c r="K161" s="131"/>
      <c r="L161" s="126"/>
      <c r="M161" s="126"/>
      <c r="N161" s="126"/>
      <c r="O161" s="126"/>
      <c r="P161" s="126"/>
      <c r="Q161" s="100"/>
    </row>
    <row r="162" spans="1:17" ht="21" thickBot="1">
      <c r="A162" s="1283" t="s">
        <v>649</v>
      </c>
      <c r="B162" s="1284"/>
      <c r="C162" s="1285">
        <v>400</v>
      </c>
      <c r="D162" s="1286">
        <v>500</v>
      </c>
      <c r="E162" s="1287">
        <f>+(C162*D162*12)/1000000</f>
        <v>2.4</v>
      </c>
      <c r="F162" s="621"/>
      <c r="G162" s="645"/>
      <c r="H162" s="619"/>
      <c r="I162" s="124"/>
      <c r="J162" s="131"/>
      <c r="K162" s="131"/>
      <c r="L162" s="126"/>
      <c r="M162" s="126"/>
      <c r="N162" s="126"/>
      <c r="O162" s="126"/>
      <c r="P162" s="126"/>
      <c r="Q162" s="100"/>
    </row>
    <row r="163" spans="1:17" ht="21" thickTop="1">
      <c r="A163" s="626" t="s">
        <v>651</v>
      </c>
      <c r="B163" s="511"/>
      <c r="C163" s="627">
        <f>SUM(C159:C161)*E32+C162</f>
        <v>560</v>
      </c>
      <c r="D163" s="628"/>
      <c r="E163" s="798">
        <f>SUM(E159:E161)*0.4+E162</f>
        <v>3.6</v>
      </c>
      <c r="F163" s="629">
        <f>G32/J25</f>
        <v>9668.5714285714294</v>
      </c>
      <c r="G163" s="646"/>
      <c r="H163" s="648">
        <f>+(E163*1000000)/F163</f>
        <v>372.34042553191489</v>
      </c>
      <c r="I163" s="124"/>
      <c r="J163" s="131"/>
      <c r="K163" s="131"/>
      <c r="L163" s="126"/>
      <c r="M163" s="126"/>
      <c r="N163" s="126"/>
      <c r="O163" s="126"/>
      <c r="P163" s="126"/>
      <c r="Q163" s="100"/>
    </row>
    <row r="164" spans="1:17" ht="21" thickBot="1">
      <c r="A164" s="630" t="s">
        <v>656</v>
      </c>
      <c r="B164" s="514"/>
      <c r="C164" s="631">
        <f>SUM(C159:C161)*(E33+E34+E35)</f>
        <v>240</v>
      </c>
      <c r="D164" s="632"/>
      <c r="E164" s="658">
        <f>SUM(E159:E161)*0.6</f>
        <v>1.7999999999999998</v>
      </c>
      <c r="F164" s="633"/>
      <c r="G164" s="647">
        <f>+G33/K25+G34/L25+G35/L25</f>
        <v>31008</v>
      </c>
      <c r="H164" s="655">
        <f>+(E164*1000000)/G164</f>
        <v>58.049535603715164</v>
      </c>
      <c r="I164" s="124"/>
      <c r="J164" s="131"/>
      <c r="K164" s="131"/>
      <c r="L164" s="126"/>
      <c r="M164" s="126"/>
      <c r="N164" s="126"/>
      <c r="O164" s="126"/>
      <c r="P164" s="126"/>
      <c r="Q164" s="100"/>
    </row>
    <row r="165" spans="1:17" ht="21" thickTop="1">
      <c r="B165" s="100"/>
      <c r="C165" s="100"/>
      <c r="D165" s="130" t="s">
        <v>856</v>
      </c>
      <c r="E165" s="122"/>
      <c r="F165" s="122"/>
      <c r="G165" s="123"/>
      <c r="H165" s="123"/>
      <c r="I165" s="124"/>
      <c r="J165" s="131"/>
      <c r="K165" s="131"/>
      <c r="L165" s="126"/>
      <c r="M165" s="126"/>
      <c r="N165" s="126"/>
      <c r="O165" s="126"/>
      <c r="P165" s="126"/>
      <c r="Q165" s="100"/>
    </row>
    <row r="166" spans="1:17" ht="22.8">
      <c r="A166" s="27" t="s">
        <v>862</v>
      </c>
      <c r="B166" s="17"/>
      <c r="C166" s="1"/>
      <c r="D166" s="1"/>
      <c r="E166" s="1"/>
      <c r="F166" s="1"/>
      <c r="G166" s="1"/>
      <c r="H166" s="1"/>
      <c r="I166" s="124"/>
      <c r="J166" s="131"/>
      <c r="K166" s="131"/>
      <c r="L166" s="126"/>
      <c r="M166" s="126"/>
      <c r="N166" s="126"/>
      <c r="O166" s="126"/>
      <c r="P166" s="126"/>
      <c r="Q166" s="100"/>
    </row>
    <row r="167" spans="1:17" ht="21" thickBot="1">
      <c r="A167" s="1"/>
      <c r="B167" s="1"/>
      <c r="C167" s="1"/>
      <c r="D167" s="1"/>
      <c r="E167" s="1"/>
      <c r="F167" s="1"/>
      <c r="G167" s="1"/>
      <c r="H167" s="1"/>
      <c r="I167" s="124"/>
      <c r="J167" s="131"/>
      <c r="K167" s="131"/>
      <c r="L167" s="126"/>
      <c r="M167" s="126"/>
      <c r="N167" s="126"/>
      <c r="O167" s="126"/>
      <c r="P167" s="126"/>
      <c r="Q167" s="100"/>
    </row>
    <row r="168" spans="1:17" ht="21.6" thickTop="1" thickBot="1">
      <c r="A168" s="20" t="s">
        <v>390</v>
      </c>
      <c r="B168" s="115" t="s">
        <v>17</v>
      </c>
      <c r="C168" s="501" t="s">
        <v>674</v>
      </c>
      <c r="E168" s="490"/>
      <c r="F168" s="142"/>
      <c r="G168" s="142"/>
      <c r="H168" s="142"/>
      <c r="I168" s="124"/>
      <c r="J168" s="131"/>
      <c r="K168" s="131"/>
      <c r="L168" s="126"/>
      <c r="M168" s="126"/>
      <c r="N168" s="126"/>
      <c r="O168" s="126"/>
      <c r="P168" s="126"/>
      <c r="Q168" s="100"/>
    </row>
    <row r="169" spans="1:17" ht="21.6" thickTop="1" thickBot="1">
      <c r="A169" s="671">
        <v>1</v>
      </c>
      <c r="B169" s="118" t="s">
        <v>391</v>
      </c>
      <c r="C169" s="675">
        <f>30/30.64</f>
        <v>0.97911227154046998</v>
      </c>
      <c r="E169" s="490"/>
      <c r="F169" s="142"/>
      <c r="G169" s="142"/>
      <c r="H169" s="142"/>
      <c r="I169" s="124"/>
      <c r="J169" s="131"/>
      <c r="K169" s="131"/>
      <c r="L169" s="126"/>
      <c r="M169" s="126"/>
      <c r="N169" s="126"/>
      <c r="O169" s="126"/>
      <c r="P169" s="126"/>
      <c r="Q169" s="100"/>
    </row>
    <row r="170" spans="1:17" ht="21.6" thickTop="1" thickBot="1">
      <c r="A170" s="671">
        <v>2</v>
      </c>
      <c r="B170" s="674" t="s">
        <v>690</v>
      </c>
      <c r="C170" s="675">
        <v>7.0000000000000007E-2</v>
      </c>
      <c r="E170" s="668"/>
      <c r="F170" s="669"/>
      <c r="G170" s="669"/>
      <c r="H170" s="668"/>
      <c r="I170" s="124"/>
      <c r="J170" s="131"/>
      <c r="K170" s="131"/>
      <c r="L170" s="126"/>
      <c r="M170" s="126"/>
      <c r="N170" s="126"/>
      <c r="O170" s="126"/>
      <c r="P170" s="126"/>
      <c r="Q170" s="100"/>
    </row>
    <row r="171" spans="1:17" ht="21" thickTop="1">
      <c r="B171" s="100"/>
      <c r="C171" s="100"/>
      <c r="D171" s="130"/>
      <c r="E171" s="122"/>
      <c r="F171" s="122"/>
      <c r="G171" s="123"/>
      <c r="H171" s="123"/>
      <c r="I171" s="124"/>
      <c r="J171" s="131"/>
      <c r="K171" s="131"/>
      <c r="L171" s="126"/>
      <c r="M171" s="126"/>
      <c r="N171" s="126"/>
      <c r="O171" s="126"/>
      <c r="P171" s="126"/>
      <c r="Q171" s="100"/>
    </row>
    <row r="172" spans="1:17" ht="22.8">
      <c r="A172" s="426" t="s">
        <v>863</v>
      </c>
      <c r="B172" s="1"/>
      <c r="C172" s="1"/>
      <c r="D172" s="1"/>
      <c r="E172" s="5"/>
      <c r="F172" s="16"/>
      <c r="G172" s="1"/>
      <c r="H172" s="1"/>
      <c r="I172" s="1"/>
      <c r="J172" s="131"/>
      <c r="K172" s="131"/>
      <c r="L172" s="126"/>
      <c r="M172" s="126"/>
      <c r="N172" s="126"/>
      <c r="O172" s="126"/>
      <c r="P172" s="126"/>
      <c r="Q172" s="100"/>
    </row>
    <row r="173" spans="1:17" ht="22.8" thickBot="1">
      <c r="A173" s="1"/>
      <c r="B173" s="1"/>
      <c r="C173" s="1"/>
      <c r="D173" s="1"/>
      <c r="E173" s="5"/>
      <c r="F173" s="16"/>
      <c r="G173" s="1"/>
      <c r="H173" s="1"/>
      <c r="I173" s="1"/>
      <c r="J173" s="131"/>
      <c r="K173" s="131"/>
      <c r="L173" s="126"/>
      <c r="M173" s="126"/>
      <c r="N173" s="126"/>
      <c r="O173" s="126"/>
      <c r="P173" s="126"/>
      <c r="Q173" s="100"/>
    </row>
    <row r="174" spans="1:17" ht="21" thickTop="1">
      <c r="A174" s="507" t="s">
        <v>14</v>
      </c>
      <c r="B174" s="298"/>
      <c r="C174" s="660" t="s">
        <v>662</v>
      </c>
      <c r="D174" s="521" t="s">
        <v>670</v>
      </c>
      <c r="E174" s="661" t="s">
        <v>899</v>
      </c>
      <c r="F174" s="662" t="s">
        <v>663</v>
      </c>
      <c r="G174" s="423" t="s">
        <v>664</v>
      </c>
      <c r="H174" s="663" t="s">
        <v>665</v>
      </c>
      <c r="I174" s="424" t="s">
        <v>672</v>
      </c>
      <c r="J174" s="103"/>
      <c r="K174" s="131"/>
      <c r="L174" s="126"/>
      <c r="M174" s="126"/>
      <c r="N174" s="126"/>
      <c r="O174" s="126"/>
      <c r="P174" s="126"/>
      <c r="Q174" s="100"/>
    </row>
    <row r="175" spans="1:17" ht="20.399999999999999">
      <c r="A175" s="299"/>
      <c r="B175" s="103"/>
      <c r="C175" s="672" t="s">
        <v>683</v>
      </c>
      <c r="D175" s="620" t="s">
        <v>671</v>
      </c>
      <c r="E175" s="133" t="s">
        <v>691</v>
      </c>
      <c r="F175" s="659" t="s">
        <v>673</v>
      </c>
      <c r="G175" s="572" t="s">
        <v>666</v>
      </c>
      <c r="H175" s="656"/>
      <c r="I175" s="642" t="s">
        <v>681</v>
      </c>
      <c r="J175" s="142"/>
      <c r="K175" s="131"/>
      <c r="L175" s="126"/>
      <c r="M175" s="126"/>
      <c r="N175" s="126"/>
      <c r="O175" s="126"/>
      <c r="P175" s="126"/>
      <c r="Q175" s="100"/>
    </row>
    <row r="176" spans="1:17" ht="21" thickBot="1">
      <c r="A176" s="622"/>
      <c r="B176" s="302"/>
      <c r="C176" s="664"/>
      <c r="D176" s="623" t="s">
        <v>657</v>
      </c>
      <c r="E176" s="624" t="s">
        <v>660</v>
      </c>
      <c r="F176" s="666" t="s">
        <v>660</v>
      </c>
      <c r="G176" s="301"/>
      <c r="H176" s="666" t="s">
        <v>660</v>
      </c>
      <c r="I176" s="667" t="s">
        <v>660</v>
      </c>
      <c r="J176" s="142"/>
      <c r="K176" s="131"/>
      <c r="L176" s="126"/>
      <c r="M176" s="126"/>
      <c r="N176" s="126"/>
      <c r="O176" s="126"/>
      <c r="P176" s="126"/>
      <c r="Q176" s="100"/>
    </row>
    <row r="177" spans="1:17" ht="21" thickTop="1">
      <c r="A177" s="510" t="s">
        <v>667</v>
      </c>
      <c r="B177" s="628"/>
      <c r="C177" s="1257">
        <v>2</v>
      </c>
      <c r="D177" s="1258">
        <v>400</v>
      </c>
      <c r="E177" s="1259">
        <v>600</v>
      </c>
      <c r="F177" s="1260">
        <f>+D177*E177*12</f>
        <v>2880000</v>
      </c>
      <c r="G177" s="1261">
        <v>200</v>
      </c>
      <c r="H177" s="1260">
        <f>+F177/C177</f>
        <v>1440000</v>
      </c>
      <c r="I177" s="673"/>
      <c r="J177" s="657"/>
      <c r="K177" s="131"/>
      <c r="L177" s="126"/>
      <c r="M177" s="126"/>
      <c r="N177" s="126"/>
      <c r="O177" s="126"/>
      <c r="P177" s="126"/>
      <c r="Q177" s="100"/>
    </row>
    <row r="178" spans="1:17" ht="20.399999999999999">
      <c r="A178" s="512" t="s">
        <v>668</v>
      </c>
      <c r="B178" s="1032"/>
      <c r="C178" s="1262">
        <v>2</v>
      </c>
      <c r="D178" s="1263">
        <v>200</v>
      </c>
      <c r="E178" s="1264">
        <v>500</v>
      </c>
      <c r="F178" s="1265">
        <f>+D178*E178*12</f>
        <v>1200000</v>
      </c>
      <c r="G178" s="1266">
        <v>50</v>
      </c>
      <c r="H178" s="1265">
        <f>+F178/C178</f>
        <v>600000</v>
      </c>
      <c r="I178" s="673"/>
      <c r="J178" s="657"/>
      <c r="K178" s="131"/>
      <c r="L178" s="126"/>
      <c r="M178" s="126"/>
      <c r="N178" s="126"/>
      <c r="O178" s="126"/>
      <c r="P178" s="126"/>
      <c r="Q178" s="100"/>
    </row>
    <row r="179" spans="1:17" ht="20.399999999999999">
      <c r="A179" s="512" t="s">
        <v>669</v>
      </c>
      <c r="B179" s="1032"/>
      <c r="C179" s="1262">
        <v>4</v>
      </c>
      <c r="D179" s="1263">
        <v>80</v>
      </c>
      <c r="E179" s="1264">
        <v>400</v>
      </c>
      <c r="F179" s="1265">
        <f>+D179*E179*12</f>
        <v>384000</v>
      </c>
      <c r="G179" s="1267">
        <v>20</v>
      </c>
      <c r="H179" s="1265">
        <f>+F179/C179</f>
        <v>96000</v>
      </c>
      <c r="I179" s="673"/>
      <c r="J179" s="103"/>
      <c r="K179" s="131"/>
      <c r="L179" s="126"/>
      <c r="M179" s="126"/>
      <c r="N179" s="126"/>
      <c r="O179" s="126"/>
      <c r="P179" s="126"/>
      <c r="Q179" s="100"/>
    </row>
    <row r="180" spans="1:17" ht="21" thickBot="1">
      <c r="A180" s="1268" t="s">
        <v>682</v>
      </c>
      <c r="B180" s="1034"/>
      <c r="C180" s="1269"/>
      <c r="D180" s="1270"/>
      <c r="E180" s="1271"/>
      <c r="F180" s="1272">
        <f>SUM(F177:F179)</f>
        <v>4464000</v>
      </c>
      <c r="G180" s="1273"/>
      <c r="H180" s="1272"/>
      <c r="I180" s="1042">
        <f>+F180/1500</f>
        <v>2976</v>
      </c>
      <c r="J180" s="657"/>
      <c r="K180" s="131"/>
      <c r="L180" s="126"/>
      <c r="M180" s="126"/>
      <c r="N180" s="126"/>
      <c r="O180" s="126"/>
      <c r="P180" s="126"/>
      <c r="Q180" s="100"/>
    </row>
    <row r="181" spans="1:17" ht="21" thickTop="1">
      <c r="B181" s="100"/>
      <c r="C181" s="100"/>
      <c r="D181" s="130"/>
      <c r="E181" s="130" t="s">
        <v>900</v>
      </c>
      <c r="F181" s="122"/>
      <c r="G181" s="122"/>
      <c r="H181" s="123"/>
      <c r="I181" s="124"/>
      <c r="J181" s="131"/>
      <c r="K181" s="131"/>
      <c r="L181" s="126"/>
      <c r="M181" s="126"/>
      <c r="N181" s="126"/>
      <c r="O181" s="126"/>
      <c r="P181" s="126"/>
      <c r="Q181" s="100"/>
    </row>
    <row r="182" spans="1:17" ht="22.8">
      <c r="A182" s="426" t="s">
        <v>864</v>
      </c>
      <c r="B182" s="1"/>
      <c r="C182" s="1"/>
      <c r="D182" s="1"/>
      <c r="E182" s="122"/>
      <c r="F182" s="122"/>
      <c r="G182" s="123"/>
      <c r="H182" s="123"/>
      <c r="I182" s="124"/>
      <c r="J182" s="131"/>
      <c r="K182" s="131"/>
      <c r="L182" s="126"/>
      <c r="M182" s="126"/>
      <c r="N182" s="126"/>
      <c r="O182" s="126"/>
      <c r="P182" s="126"/>
      <c r="Q182" s="100"/>
    </row>
    <row r="183" spans="1:17" ht="21" thickBot="1">
      <c r="A183" s="1"/>
      <c r="B183" s="1"/>
      <c r="C183" s="1"/>
      <c r="D183" s="1"/>
      <c r="E183" s="122"/>
      <c r="F183" s="122"/>
      <c r="G183" s="123"/>
      <c r="H183" s="123"/>
      <c r="I183" s="124"/>
      <c r="J183" s="131"/>
      <c r="K183" s="131"/>
      <c r="L183" s="126"/>
      <c r="M183" s="126"/>
      <c r="N183" s="126"/>
      <c r="O183" s="126"/>
      <c r="P183" s="126"/>
      <c r="Q183" s="100"/>
    </row>
    <row r="184" spans="1:17" ht="21" thickTop="1">
      <c r="A184" s="681" t="s">
        <v>587</v>
      </c>
      <c r="B184" s="661" t="s">
        <v>30</v>
      </c>
      <c r="C184" s="1538" t="s">
        <v>693</v>
      </c>
      <c r="D184" s="1539"/>
      <c r="E184" s="1521" t="s">
        <v>696</v>
      </c>
      <c r="F184" s="1523"/>
      <c r="G184" s="1521" t="s">
        <v>697</v>
      </c>
      <c r="H184" s="1522"/>
      <c r="I184" s="1523"/>
      <c r="J184" s="131"/>
      <c r="K184" s="131"/>
      <c r="L184" s="126"/>
      <c r="M184" s="126"/>
      <c r="N184" s="126"/>
      <c r="O184" s="126"/>
      <c r="P184" s="126"/>
      <c r="Q184" s="100"/>
    </row>
    <row r="185" spans="1:17" ht="21" thickBot="1">
      <c r="A185" s="522"/>
      <c r="B185" s="665"/>
      <c r="C185" s="682" t="s">
        <v>694</v>
      </c>
      <c r="D185" s="683" t="s">
        <v>695</v>
      </c>
      <c r="E185" s="682" t="s">
        <v>694</v>
      </c>
      <c r="F185" s="680" t="s">
        <v>695</v>
      </c>
      <c r="G185" s="624" t="s">
        <v>694</v>
      </c>
      <c r="H185" s="686" t="s">
        <v>695</v>
      </c>
      <c r="I185" s="680" t="s">
        <v>4</v>
      </c>
      <c r="J185" s="131"/>
      <c r="K185" s="131"/>
      <c r="L185" s="126"/>
      <c r="M185" s="126"/>
      <c r="N185" s="126"/>
      <c r="O185" s="126"/>
      <c r="P185" s="126"/>
      <c r="Q185" s="100"/>
    </row>
    <row r="186" spans="1:17" ht="21" thickTop="1">
      <c r="A186" s="1524">
        <v>1</v>
      </c>
      <c r="B186" s="695" t="s">
        <v>29</v>
      </c>
      <c r="C186" s="699"/>
      <c r="D186" s="700"/>
      <c r="E186" s="701">
        <f>8.7/3.75</f>
        <v>2.3199999999999998</v>
      </c>
      <c r="F186" s="702">
        <f>(E186*1.683)</f>
        <v>3.90456</v>
      </c>
      <c r="G186" s="687">
        <f t="shared" ref="G186:H188" si="3">+C186*E186</f>
        <v>0</v>
      </c>
      <c r="H186" s="688">
        <f t="shared" si="3"/>
        <v>0</v>
      </c>
      <c r="I186" s="689">
        <f>SUM(G186:H186)</f>
        <v>0</v>
      </c>
      <c r="J186" s="131"/>
      <c r="K186" s="131"/>
      <c r="L186" s="126"/>
      <c r="M186" s="126"/>
      <c r="N186" s="126"/>
      <c r="O186" s="126"/>
      <c r="P186" s="126"/>
      <c r="Q186" s="100"/>
    </row>
    <row r="187" spans="1:17" ht="20.399999999999999">
      <c r="A187" s="1525"/>
      <c r="B187" s="696" t="s">
        <v>28</v>
      </c>
      <c r="C187" s="703">
        <f>+E23+E24</f>
        <v>332</v>
      </c>
      <c r="D187" s="704">
        <f>+E21+E22</f>
        <v>138</v>
      </c>
      <c r="E187" s="705">
        <f>14.73/3.75</f>
        <v>3.9279999999999999</v>
      </c>
      <c r="F187" s="706">
        <f>+E187*1.683</f>
        <v>6.610824</v>
      </c>
      <c r="G187" s="690">
        <f t="shared" si="3"/>
        <v>1304.096</v>
      </c>
      <c r="H187" s="691">
        <f t="shared" si="3"/>
        <v>912.29371200000003</v>
      </c>
      <c r="I187" s="692">
        <f>SUM(G187:H187)</f>
        <v>2216.3897120000001</v>
      </c>
      <c r="J187" s="131"/>
      <c r="K187" s="131"/>
      <c r="L187" s="126"/>
      <c r="M187" s="126"/>
      <c r="N187" s="126"/>
      <c r="O187" s="126"/>
      <c r="P187" s="126"/>
      <c r="Q187" s="100"/>
    </row>
    <row r="188" spans="1:17" ht="20.399999999999999">
      <c r="A188" s="1525"/>
      <c r="B188" s="697" t="s">
        <v>692</v>
      </c>
      <c r="C188" s="707"/>
      <c r="D188" s="708"/>
      <c r="E188" s="705">
        <f>+E186*2.5</f>
        <v>5.8</v>
      </c>
      <c r="F188" s="706">
        <f>+E188*1.683</f>
        <v>9.7614000000000001</v>
      </c>
      <c r="G188" s="690">
        <f t="shared" si="3"/>
        <v>0</v>
      </c>
      <c r="H188" s="691">
        <f t="shared" si="3"/>
        <v>0</v>
      </c>
      <c r="I188" s="692">
        <f>SUM(G188:H188)</f>
        <v>0</v>
      </c>
      <c r="J188" s="131"/>
      <c r="K188" s="131"/>
      <c r="L188" s="126"/>
      <c r="M188" s="126"/>
      <c r="N188" s="126"/>
      <c r="O188" s="126"/>
      <c r="P188" s="126"/>
      <c r="Q188" s="100"/>
    </row>
    <row r="189" spans="1:17" ht="21" thickBot="1">
      <c r="A189" s="1526"/>
      <c r="B189" s="698" t="s">
        <v>698</v>
      </c>
      <c r="C189" s="709">
        <f>SUM(C186:C188)</f>
        <v>332</v>
      </c>
      <c r="D189" s="710">
        <f>SUM(D186:D188)</f>
        <v>138</v>
      </c>
      <c r="E189" s="684"/>
      <c r="F189" s="685"/>
      <c r="G189" s="693">
        <f>SUM(G186:G188)</f>
        <v>1304.096</v>
      </c>
      <c r="H189" s="694">
        <f>SUM(H186:H188)</f>
        <v>912.29371200000003</v>
      </c>
      <c r="I189" s="1041">
        <f>SUM(I186:I188)</f>
        <v>2216.3897120000001</v>
      </c>
      <c r="J189" s="131"/>
      <c r="K189" s="131"/>
      <c r="L189" s="126"/>
      <c r="M189" s="126"/>
      <c r="N189" s="126"/>
      <c r="O189" s="126"/>
      <c r="P189" s="126"/>
      <c r="Q189" s="100"/>
    </row>
    <row r="190" spans="1:17" ht="21" thickTop="1">
      <c r="B190" s="100"/>
      <c r="C190" s="100"/>
      <c r="D190" s="130"/>
      <c r="E190" s="122"/>
      <c r="F190" s="122"/>
      <c r="G190" s="123"/>
      <c r="H190" s="123"/>
      <c r="I190" s="124"/>
      <c r="J190" s="131"/>
      <c r="K190" s="131"/>
      <c r="L190" s="126"/>
      <c r="M190" s="126"/>
      <c r="N190" s="126"/>
      <c r="O190" s="126"/>
      <c r="P190" s="126"/>
      <c r="Q190" s="100"/>
    </row>
    <row r="191" spans="1:17" ht="22.8">
      <c r="A191" s="752" t="s">
        <v>865</v>
      </c>
      <c r="B191" s="100"/>
      <c r="C191" s="100"/>
      <c r="D191" s="130"/>
      <c r="E191" s="122"/>
      <c r="F191" s="122"/>
      <c r="G191" s="123"/>
      <c r="H191" s="123"/>
      <c r="I191" s="124"/>
      <c r="J191" s="131"/>
      <c r="K191" s="131"/>
      <c r="L191" s="126"/>
      <c r="M191" s="126"/>
      <c r="N191" s="126"/>
      <c r="O191" s="126"/>
      <c r="P191" s="126"/>
      <c r="Q191" s="100"/>
    </row>
    <row r="192" spans="1:17" ht="21" thickBot="1">
      <c r="B192" s="100"/>
      <c r="C192" s="100"/>
      <c r="D192" s="130"/>
      <c r="E192" s="122"/>
      <c r="F192" s="122"/>
      <c r="G192" s="123"/>
      <c r="H192" s="123"/>
      <c r="I192" s="124"/>
      <c r="J192" s="131"/>
      <c r="K192" s="131"/>
      <c r="L192" s="126"/>
      <c r="M192" s="126"/>
      <c r="N192" s="126"/>
      <c r="O192" s="126"/>
      <c r="P192" s="126"/>
      <c r="Q192" s="100"/>
    </row>
    <row r="193" spans="1:17" ht="21" thickTop="1">
      <c r="A193" s="681" t="s">
        <v>587</v>
      </c>
      <c r="B193" s="753" t="s">
        <v>700</v>
      </c>
      <c r="C193" s="677" t="s">
        <v>704</v>
      </c>
      <c r="D193" s="761" t="s">
        <v>705</v>
      </c>
      <c r="E193" s="757" t="s">
        <v>706</v>
      </c>
      <c r="F193" s="504"/>
      <c r="G193" s="504"/>
      <c r="H193" s="504"/>
      <c r="J193" s="131"/>
      <c r="K193" s="131"/>
      <c r="L193" s="126"/>
      <c r="M193" s="126"/>
      <c r="N193" s="126"/>
      <c r="O193" s="126"/>
      <c r="P193" s="126"/>
      <c r="Q193" s="100"/>
    </row>
    <row r="194" spans="1:17" ht="21" thickBot="1">
      <c r="A194" s="522"/>
      <c r="B194" s="665"/>
      <c r="C194" s="682"/>
      <c r="D194" s="762" t="s">
        <v>568</v>
      </c>
      <c r="E194" s="680" t="s">
        <v>568</v>
      </c>
      <c r="F194" s="504"/>
      <c r="G194" s="504"/>
      <c r="H194" s="504"/>
      <c r="J194" s="131"/>
      <c r="K194" s="131"/>
      <c r="L194" s="126"/>
      <c r="M194" s="126"/>
      <c r="N194" s="126"/>
      <c r="O194" s="126"/>
      <c r="P194" s="126"/>
      <c r="Q194" s="100"/>
    </row>
    <row r="195" spans="1:17" ht="21" thickTop="1">
      <c r="A195" s="1524">
        <v>1</v>
      </c>
      <c r="B195" s="754" t="s">
        <v>703</v>
      </c>
      <c r="C195" s="699">
        <v>2</v>
      </c>
      <c r="D195" s="763">
        <v>20</v>
      </c>
      <c r="E195" s="758">
        <f>+C195*D195</f>
        <v>40</v>
      </c>
      <c r="F195" s="679"/>
      <c r="G195" s="679"/>
      <c r="H195" s="679"/>
      <c r="J195" s="131"/>
      <c r="K195" s="131"/>
      <c r="L195" s="126"/>
      <c r="M195" s="126"/>
      <c r="N195" s="126"/>
      <c r="O195" s="126"/>
      <c r="P195" s="126"/>
      <c r="Q195" s="100"/>
    </row>
    <row r="196" spans="1:17" ht="20.399999999999999">
      <c r="A196" s="1525"/>
      <c r="B196" s="755" t="s">
        <v>701</v>
      </c>
      <c r="C196" s="703">
        <v>2</v>
      </c>
      <c r="D196" s="764">
        <v>8</v>
      </c>
      <c r="E196" s="759">
        <f>+C196*D196</f>
        <v>16</v>
      </c>
      <c r="F196" s="679"/>
      <c r="G196" s="679"/>
      <c r="H196" s="679"/>
      <c r="J196" s="131"/>
      <c r="K196" s="131"/>
      <c r="L196" s="126"/>
      <c r="M196" s="126"/>
      <c r="N196" s="126"/>
      <c r="O196" s="126"/>
      <c r="P196" s="126"/>
      <c r="Q196" s="100"/>
    </row>
    <row r="197" spans="1:17" ht="20.399999999999999">
      <c r="A197" s="1525"/>
      <c r="B197" s="756" t="s">
        <v>702</v>
      </c>
      <c r="C197" s="707"/>
      <c r="D197" s="765">
        <v>4</v>
      </c>
      <c r="E197" s="760">
        <f>+C197*D197</f>
        <v>0</v>
      </c>
      <c r="F197" s="679"/>
      <c r="G197" s="679"/>
      <c r="H197" s="679"/>
      <c r="J197" s="131"/>
      <c r="K197" s="131"/>
      <c r="L197" s="126"/>
      <c r="M197" s="126"/>
      <c r="N197" s="126"/>
      <c r="O197" s="126"/>
      <c r="P197" s="126"/>
      <c r="Q197" s="100"/>
    </row>
    <row r="198" spans="1:17" ht="21" thickBot="1">
      <c r="A198" s="1526"/>
      <c r="B198" s="698" t="s">
        <v>698</v>
      </c>
      <c r="C198" s="709">
        <f>SUM(C195:C197)</f>
        <v>4</v>
      </c>
      <c r="D198" s="766"/>
      <c r="E198" s="1040">
        <f>SUM(E195:E197)</f>
        <v>56</v>
      </c>
      <c r="F198" s="678"/>
      <c r="G198" s="678"/>
      <c r="H198" s="678"/>
      <c r="J198" s="131"/>
      <c r="K198" s="131"/>
      <c r="L198" s="126"/>
      <c r="M198" s="126"/>
      <c r="N198" s="126"/>
      <c r="O198" s="126"/>
      <c r="P198" s="126"/>
      <c r="Q198" s="100"/>
    </row>
    <row r="199" spans="1:17" ht="21" thickTop="1">
      <c r="B199" s="100"/>
      <c r="C199" s="100"/>
      <c r="D199" s="130"/>
      <c r="E199" s="122"/>
      <c r="F199" s="122"/>
      <c r="G199" s="123"/>
      <c r="H199" s="123"/>
      <c r="I199" s="124"/>
      <c r="J199" s="131"/>
      <c r="K199" s="131"/>
      <c r="L199" s="126"/>
      <c r="M199" s="126"/>
      <c r="N199" s="126"/>
      <c r="O199" s="126"/>
      <c r="P199" s="126"/>
      <c r="Q199" s="100"/>
    </row>
    <row r="200" spans="1:17" ht="22.8">
      <c r="A200" s="27" t="s">
        <v>866</v>
      </c>
      <c r="B200" s="17"/>
      <c r="C200" s="17"/>
      <c r="D200" s="1"/>
      <c r="E200" s="1"/>
      <c r="F200" s="1"/>
      <c r="G200" s="123"/>
      <c r="H200" s="123"/>
      <c r="I200" s="124"/>
      <c r="J200" s="131"/>
      <c r="K200" s="131"/>
      <c r="L200" s="126"/>
      <c r="M200" s="126"/>
      <c r="N200" s="126"/>
      <c r="O200" s="126"/>
      <c r="P200" s="126"/>
      <c r="Q200" s="100"/>
    </row>
    <row r="201" spans="1:17" ht="21" thickBot="1">
      <c r="A201" s="1"/>
      <c r="B201" s="1"/>
      <c r="C201" s="1"/>
      <c r="D201" s="1"/>
      <c r="E201" s="1"/>
      <c r="F201" s="1"/>
      <c r="G201" s="123"/>
      <c r="H201" s="123"/>
      <c r="I201" s="124"/>
      <c r="J201" s="131"/>
      <c r="K201" s="131"/>
      <c r="L201" s="126"/>
      <c r="M201" s="126"/>
      <c r="N201" s="126"/>
      <c r="O201" s="126"/>
      <c r="P201" s="126"/>
      <c r="Q201" s="100"/>
    </row>
    <row r="202" spans="1:17" ht="15.6" thickTop="1">
      <c r="A202" s="507" t="s">
        <v>380</v>
      </c>
      <c r="B202" s="781" t="s">
        <v>20</v>
      </c>
      <c r="C202" s="868" t="s">
        <v>718</v>
      </c>
      <c r="D202" s="784" t="s">
        <v>719</v>
      </c>
      <c r="E202" s="298"/>
      <c r="F202" s="812" t="s">
        <v>721</v>
      </c>
      <c r="G202" s="784" t="s">
        <v>729</v>
      </c>
      <c r="H202" s="785" t="s">
        <v>743</v>
      </c>
      <c r="J202" s="142"/>
      <c r="K202" s="142"/>
      <c r="L202" s="490"/>
      <c r="M202" s="103"/>
      <c r="N202" s="126"/>
      <c r="O202" s="126"/>
      <c r="P202" s="126"/>
      <c r="Q202" s="100"/>
    </row>
    <row r="203" spans="1:17" ht="15.6" thickBot="1">
      <c r="A203" s="299"/>
      <c r="B203" s="23"/>
      <c r="C203" s="869"/>
      <c r="D203" s="779" t="s">
        <v>720</v>
      </c>
      <c r="E203" s="103"/>
      <c r="F203" s="813" t="s">
        <v>722</v>
      </c>
      <c r="G203" s="569" t="s">
        <v>6</v>
      </c>
      <c r="H203" s="618" t="s">
        <v>744</v>
      </c>
      <c r="J203" s="103"/>
      <c r="K203" s="103"/>
      <c r="L203" s="489"/>
      <c r="M203" s="489"/>
      <c r="N203" s="126"/>
      <c r="O203" s="126"/>
      <c r="P203" s="126"/>
      <c r="Q203" s="100"/>
    </row>
    <row r="204" spans="1:17" ht="16.2" thickTop="1">
      <c r="A204" s="299"/>
      <c r="B204" s="637"/>
      <c r="C204" s="870"/>
      <c r="D204" s="799"/>
      <c r="E204" s="115"/>
      <c r="F204" s="814"/>
      <c r="G204" s="802"/>
      <c r="H204" s="848"/>
      <c r="J204" s="103"/>
      <c r="K204" s="103"/>
      <c r="L204" s="783"/>
      <c r="M204" s="103"/>
      <c r="N204" s="126"/>
      <c r="O204" s="126"/>
      <c r="P204" s="126"/>
      <c r="Q204" s="100"/>
    </row>
    <row r="205" spans="1:17" ht="15.6">
      <c r="A205" s="866">
        <v>1</v>
      </c>
      <c r="B205" s="797" t="s">
        <v>717</v>
      </c>
      <c r="C205" s="871">
        <v>500</v>
      </c>
      <c r="D205" s="800">
        <v>700</v>
      </c>
      <c r="E205" s="103"/>
      <c r="F205" s="819">
        <f>+(C205*D205*12)/1000000</f>
        <v>4.2</v>
      </c>
      <c r="G205" s="832">
        <f>J39</f>
        <v>433440</v>
      </c>
      <c r="H205" s="782">
        <f>+(F205*1000000)/G205</f>
        <v>9.6899224806201545</v>
      </c>
      <c r="J205" s="103"/>
      <c r="K205" s="103"/>
      <c r="L205" s="783"/>
      <c r="M205" s="783"/>
      <c r="N205" s="126"/>
      <c r="O205" s="126"/>
      <c r="P205" s="126"/>
      <c r="Q205" s="100"/>
    </row>
    <row r="206" spans="1:17" ht="16.2" thickBot="1">
      <c r="A206" s="622"/>
      <c r="B206" s="795"/>
      <c r="C206" s="872"/>
      <c r="D206" s="801"/>
      <c r="E206" s="302"/>
      <c r="F206" s="815"/>
      <c r="G206" s="833"/>
      <c r="H206" s="786"/>
      <c r="J206" s="103"/>
      <c r="K206" s="103"/>
      <c r="L206" s="783"/>
      <c r="M206" s="783"/>
      <c r="N206" s="126"/>
      <c r="O206" s="126"/>
      <c r="P206" s="126"/>
      <c r="Q206" s="100"/>
    </row>
    <row r="207" spans="1:17" ht="16.2" thickTop="1">
      <c r="A207" s="299"/>
      <c r="B207" s="787"/>
      <c r="C207" s="873"/>
      <c r="D207" s="791"/>
      <c r="E207" s="386"/>
      <c r="F207" s="809"/>
      <c r="G207" s="834"/>
      <c r="H207" s="820"/>
      <c r="J207" s="103"/>
      <c r="K207" s="783"/>
      <c r="L207" s="783"/>
      <c r="M207" s="126"/>
      <c r="N207" s="126"/>
      <c r="O207" s="126"/>
      <c r="P207" s="126"/>
      <c r="Q207" s="100"/>
    </row>
    <row r="208" spans="1:17">
      <c r="A208" s="299"/>
      <c r="B208" s="788" t="s">
        <v>20</v>
      </c>
      <c r="C208" s="874" t="s">
        <v>750</v>
      </c>
      <c r="D208" s="792" t="s">
        <v>726</v>
      </c>
      <c r="E208" s="300" t="s">
        <v>727</v>
      </c>
      <c r="F208" s="810" t="s">
        <v>728</v>
      </c>
      <c r="G208" s="835" t="s">
        <v>729</v>
      </c>
      <c r="H208" s="620" t="s">
        <v>730</v>
      </c>
      <c r="J208" s="103"/>
      <c r="K208" s="783"/>
      <c r="L208" s="783"/>
      <c r="M208" s="126"/>
      <c r="N208" s="126"/>
      <c r="O208" s="126"/>
      <c r="P208" s="126"/>
      <c r="Q208" s="100"/>
    </row>
    <row r="209" spans="1:17" ht="15.6" thickBot="1">
      <c r="A209" s="299"/>
      <c r="B209" s="790"/>
      <c r="C209" s="811" t="s">
        <v>739</v>
      </c>
      <c r="D209" s="793" t="s">
        <v>13</v>
      </c>
      <c r="E209" s="520" t="s">
        <v>16</v>
      </c>
      <c r="F209" s="811" t="s">
        <v>586</v>
      </c>
      <c r="G209" s="836" t="s">
        <v>6</v>
      </c>
      <c r="H209" s="623" t="s">
        <v>606</v>
      </c>
      <c r="J209" s="103"/>
      <c r="K209" s="783"/>
      <c r="L209" s="783"/>
      <c r="M209" s="126"/>
      <c r="N209" s="126"/>
      <c r="O209" s="126"/>
      <c r="P209" s="126"/>
      <c r="Q209" s="100"/>
    </row>
    <row r="210" spans="1:17" ht="16.2" thickTop="1">
      <c r="A210" s="299"/>
      <c r="B210" s="789"/>
      <c r="C210" s="560"/>
      <c r="D210" s="807"/>
      <c r="E210" s="843"/>
      <c r="F210" s="816"/>
      <c r="G210" s="837"/>
      <c r="H210" s="170"/>
      <c r="J210" s="103"/>
      <c r="K210" s="783"/>
      <c r="L210" s="103"/>
      <c r="M210" s="126"/>
      <c r="N210" s="126"/>
      <c r="O210" s="126"/>
      <c r="P210" s="126"/>
      <c r="Q210" s="100"/>
    </row>
    <row r="211" spans="1:17" ht="15.6">
      <c r="A211" s="866">
        <v>2</v>
      </c>
      <c r="B211" s="788" t="s">
        <v>731</v>
      </c>
      <c r="C211" s="875">
        <v>14</v>
      </c>
      <c r="D211" s="807">
        <f>+C211*16*C11</f>
        <v>80640</v>
      </c>
      <c r="E211" s="843">
        <f>+H70*D211</f>
        <v>1088640</v>
      </c>
      <c r="F211" s="818">
        <f>+(E211*C169)/1000000</f>
        <v>1.0659007832898171</v>
      </c>
      <c r="G211" s="838">
        <f>+G205</f>
        <v>433440</v>
      </c>
      <c r="H211" s="821">
        <f>+(F211*1000000)/G211</f>
        <v>2.4591657052644362</v>
      </c>
      <c r="J211" s="103"/>
      <c r="K211" s="783"/>
      <c r="L211" s="103"/>
      <c r="M211" s="126"/>
      <c r="N211" s="126"/>
      <c r="O211" s="126"/>
      <c r="P211" s="126"/>
      <c r="Q211" s="100"/>
    </row>
    <row r="212" spans="1:17" ht="16.2" thickBot="1">
      <c r="A212" s="299"/>
      <c r="B212" s="794"/>
      <c r="C212" s="803"/>
      <c r="D212" s="808"/>
      <c r="E212" s="879"/>
      <c r="F212" s="817"/>
      <c r="G212" s="839"/>
      <c r="H212" s="822"/>
      <c r="I212" s="132"/>
      <c r="J212" s="103"/>
      <c r="K212" s="783"/>
      <c r="L212" s="103"/>
      <c r="M212" s="126"/>
      <c r="N212" s="126"/>
      <c r="O212" s="126"/>
      <c r="P212" s="126"/>
      <c r="Q212" s="100"/>
    </row>
    <row r="213" spans="1:17" ht="16.2" thickTop="1">
      <c r="A213" s="299"/>
      <c r="B213" s="789"/>
      <c r="C213" s="787"/>
      <c r="D213" s="780"/>
      <c r="E213" s="834"/>
      <c r="F213" s="820"/>
      <c r="G213" s="840"/>
      <c r="H213" s="823"/>
      <c r="I213" s="132"/>
      <c r="J213" s="103"/>
      <c r="K213" s="783"/>
      <c r="L213" s="103"/>
      <c r="M213" s="126"/>
      <c r="N213" s="126"/>
      <c r="O213" s="126"/>
      <c r="P213" s="126"/>
      <c r="Q213" s="100"/>
    </row>
    <row r="214" spans="1:17">
      <c r="A214" s="299"/>
      <c r="B214" s="788" t="s">
        <v>20</v>
      </c>
      <c r="C214" s="788" t="s">
        <v>718</v>
      </c>
      <c r="D214" s="804" t="s">
        <v>745</v>
      </c>
      <c r="E214" s="880" t="s">
        <v>740</v>
      </c>
      <c r="F214" s="818" t="s">
        <v>742</v>
      </c>
      <c r="G214" s="841" t="s">
        <v>729</v>
      </c>
      <c r="H214" s="830" t="s">
        <v>748</v>
      </c>
      <c r="J214" s="103"/>
      <c r="K214" s="783"/>
      <c r="L214" s="103"/>
      <c r="M214" s="126"/>
      <c r="N214" s="126"/>
      <c r="O214" s="126"/>
      <c r="P214" s="126"/>
      <c r="Q214" s="100"/>
    </row>
    <row r="215" spans="1:17" ht="15.6" thickBot="1">
      <c r="A215" s="299"/>
      <c r="B215" s="788"/>
      <c r="C215" s="788"/>
      <c r="D215" s="804" t="s">
        <v>747</v>
      </c>
      <c r="E215" s="842" t="s">
        <v>741</v>
      </c>
      <c r="F215" s="825" t="s">
        <v>586</v>
      </c>
      <c r="G215" s="841" t="s">
        <v>6</v>
      </c>
      <c r="H215" s="623" t="s">
        <v>606</v>
      </c>
      <c r="J215" s="103"/>
      <c r="K215" s="783"/>
      <c r="L215" s="103"/>
      <c r="M215" s="126"/>
      <c r="N215" s="126"/>
      <c r="O215" s="126"/>
      <c r="P215" s="126"/>
      <c r="Q215" s="100"/>
    </row>
    <row r="216" spans="1:17" ht="15.6" thickTop="1">
      <c r="A216" s="299"/>
      <c r="B216" s="805"/>
      <c r="C216" s="876"/>
      <c r="D216" s="806"/>
      <c r="E216" s="881"/>
      <c r="F216" s="826"/>
      <c r="G216" s="846"/>
      <c r="H216" s="824"/>
      <c r="J216" s="103"/>
      <c r="K216" s="783"/>
      <c r="L216" s="103"/>
      <c r="M216" s="126"/>
      <c r="N216" s="126"/>
      <c r="O216" s="126"/>
      <c r="P216" s="126"/>
      <c r="Q216" s="100"/>
    </row>
    <row r="217" spans="1:17" ht="15.6">
      <c r="A217" s="866">
        <v>3</v>
      </c>
      <c r="B217" s="788" t="s">
        <v>15</v>
      </c>
      <c r="C217" s="877">
        <v>100</v>
      </c>
      <c r="D217" s="804">
        <f>+ROUNDUP((D211*2)/(49*6*8),0)</f>
        <v>69</v>
      </c>
      <c r="E217" s="847">
        <v>800</v>
      </c>
      <c r="F217" s="818">
        <f>+(C217*E217*12)/1000000</f>
        <v>0.96</v>
      </c>
      <c r="G217" s="838">
        <f>+G211</f>
        <v>433440</v>
      </c>
      <c r="H217" s="821">
        <f>+(F217*1000000)/G217</f>
        <v>2.2148394241417497</v>
      </c>
      <c r="J217" s="103"/>
      <c r="K217" s="783"/>
      <c r="L217" s="103"/>
      <c r="M217" s="126"/>
      <c r="N217" s="126"/>
      <c r="O217" s="126"/>
      <c r="P217" s="126"/>
      <c r="Q217" s="100"/>
    </row>
    <row r="218" spans="1:17" ht="16.2" thickBot="1">
      <c r="A218" s="299"/>
      <c r="B218" s="794"/>
      <c r="C218" s="878"/>
      <c r="D218" s="796"/>
      <c r="E218" s="882"/>
      <c r="F218" s="522"/>
      <c r="G218" s="839"/>
      <c r="H218" s="822"/>
      <c r="I218" s="132"/>
      <c r="J218" s="103"/>
      <c r="K218" s="783"/>
      <c r="L218" s="103"/>
      <c r="M218" s="126"/>
      <c r="N218" s="126"/>
      <c r="O218" s="126"/>
      <c r="P218" s="126"/>
      <c r="Q218" s="100"/>
    </row>
    <row r="219" spans="1:17" ht="16.2" thickTop="1">
      <c r="A219" s="299"/>
      <c r="B219" s="788"/>
      <c r="C219" s="789"/>
      <c r="D219" s="780"/>
      <c r="E219" s="834"/>
      <c r="F219" s="827"/>
      <c r="G219" s="843"/>
      <c r="H219" s="824"/>
      <c r="J219" s="103"/>
      <c r="K219" s="783"/>
      <c r="L219" s="103"/>
      <c r="M219" s="126"/>
      <c r="N219" s="126"/>
      <c r="O219" s="126"/>
      <c r="P219" s="126"/>
      <c r="Q219" s="100"/>
    </row>
    <row r="220" spans="1:17">
      <c r="A220" s="299"/>
      <c r="B220" s="788" t="s">
        <v>20</v>
      </c>
      <c r="C220" s="621" t="s">
        <v>735</v>
      </c>
      <c r="D220" s="852" t="s">
        <v>733</v>
      </c>
      <c r="E220" s="883" t="s">
        <v>618</v>
      </c>
      <c r="F220" s="853" t="s">
        <v>737</v>
      </c>
      <c r="G220" s="835" t="s">
        <v>729</v>
      </c>
      <c r="H220" s="887" t="s">
        <v>749</v>
      </c>
      <c r="J220" s="103"/>
      <c r="K220" s="783"/>
      <c r="L220" s="103"/>
      <c r="M220" s="126"/>
      <c r="N220" s="126"/>
      <c r="O220" s="126"/>
      <c r="P220" s="126"/>
      <c r="Q220" s="100"/>
    </row>
    <row r="221" spans="1:17">
      <c r="A221" s="299"/>
      <c r="B221" s="788"/>
      <c r="C221" s="621" t="s">
        <v>736</v>
      </c>
      <c r="D221" s="852" t="s">
        <v>734</v>
      </c>
      <c r="E221" s="884" t="s">
        <v>606</v>
      </c>
      <c r="F221" s="853" t="s">
        <v>738</v>
      </c>
      <c r="G221" s="844" t="s">
        <v>6</v>
      </c>
      <c r="H221" s="887" t="s">
        <v>751</v>
      </c>
      <c r="J221" s="103"/>
      <c r="K221" s="783"/>
      <c r="L221" s="103"/>
      <c r="M221" s="126"/>
      <c r="N221" s="126"/>
      <c r="O221" s="126"/>
      <c r="P221" s="126"/>
      <c r="Q221" s="100"/>
    </row>
    <row r="222" spans="1:17" ht="16.2" thickBot="1">
      <c r="A222" s="299"/>
      <c r="B222" s="790"/>
      <c r="C222" s="676"/>
      <c r="D222" s="854"/>
      <c r="E222" s="885"/>
      <c r="F222" s="855"/>
      <c r="G222" s="836"/>
      <c r="H222" s="856"/>
      <c r="J222" s="103"/>
      <c r="K222" s="783"/>
      <c r="L222" s="103"/>
      <c r="M222" s="126"/>
      <c r="N222" s="126"/>
      <c r="O222" s="126"/>
      <c r="P222" s="126"/>
      <c r="Q222" s="100"/>
    </row>
    <row r="223" spans="1:17" ht="16.2" thickTop="1">
      <c r="A223" s="299"/>
      <c r="B223" s="788"/>
      <c r="C223" s="621"/>
      <c r="D223" s="861"/>
      <c r="E223" s="886"/>
      <c r="F223" s="828"/>
      <c r="G223" s="864"/>
      <c r="H223" s="830"/>
      <c r="J223" s="103"/>
      <c r="K223" s="783"/>
      <c r="L223" s="103"/>
      <c r="M223" s="126"/>
      <c r="N223" s="126"/>
      <c r="O223" s="126"/>
      <c r="P223" s="126"/>
      <c r="Q223" s="100"/>
    </row>
    <row r="224" spans="1:17" ht="15.6">
      <c r="A224" s="866">
        <v>4</v>
      </c>
      <c r="B224" s="788" t="s">
        <v>732</v>
      </c>
      <c r="C224" s="863">
        <f>+D211/C211</f>
        <v>5760</v>
      </c>
      <c r="D224" s="832">
        <v>10000</v>
      </c>
      <c r="E224" s="862">
        <f>+D87/2</f>
        <v>187000</v>
      </c>
      <c r="F224" s="829">
        <f>+((C224/D224)*E224*1.1)*C211/1000000</f>
        <v>1.6587648000000002</v>
      </c>
      <c r="G224" s="865">
        <f>+G205</f>
        <v>433440</v>
      </c>
      <c r="H224" s="821">
        <f>+(F224*1000000)/G224</f>
        <v>3.8269767441860467</v>
      </c>
      <c r="J224" s="103"/>
      <c r="K224" s="783"/>
      <c r="L224" s="783"/>
      <c r="M224" s="126"/>
      <c r="N224" s="126"/>
      <c r="O224" s="126"/>
      <c r="P224" s="126"/>
      <c r="Q224" s="100"/>
    </row>
    <row r="225" spans="1:17" ht="16.2" thickBot="1">
      <c r="A225" s="299"/>
      <c r="B225" s="788"/>
      <c r="C225" s="850"/>
      <c r="D225" s="831"/>
      <c r="E225" s="862"/>
      <c r="F225" s="170"/>
      <c r="G225" s="837"/>
      <c r="H225" s="170"/>
      <c r="J225" s="103"/>
      <c r="K225" s="783"/>
      <c r="L225" s="103"/>
      <c r="M225" s="126"/>
      <c r="N225" s="126"/>
      <c r="O225" s="126"/>
      <c r="P225" s="126"/>
      <c r="Q225" s="100"/>
    </row>
    <row r="226" spans="1:17" ht="16.2" thickTop="1">
      <c r="A226" s="299"/>
      <c r="B226" s="805"/>
      <c r="C226" s="857"/>
      <c r="D226" s="298"/>
      <c r="E226" s="859"/>
      <c r="F226" s="820"/>
      <c r="G226" s="858"/>
      <c r="H226" s="1038"/>
      <c r="J226" s="103"/>
      <c r="K226" s="783"/>
      <c r="L226" s="103"/>
      <c r="M226" s="126"/>
      <c r="N226" s="126"/>
      <c r="O226" s="126"/>
      <c r="P226" s="126"/>
      <c r="Q226" s="100"/>
    </row>
    <row r="227" spans="1:17" ht="16.2" thickBot="1">
      <c r="A227" s="867">
        <v>5</v>
      </c>
      <c r="B227" s="849" t="s">
        <v>793</v>
      </c>
      <c r="C227" s="851"/>
      <c r="D227" s="815"/>
      <c r="E227" s="860"/>
      <c r="F227" s="522"/>
      <c r="G227" s="845"/>
      <c r="H227" s="1039">
        <f>+H205+H211+H217+H224</f>
        <v>18.190904354212389</v>
      </c>
      <c r="J227" s="103"/>
      <c r="K227" s="783"/>
      <c r="L227" s="783"/>
      <c r="M227" s="126"/>
      <c r="N227" s="126"/>
      <c r="O227" s="126"/>
      <c r="P227" s="126"/>
      <c r="Q227" s="100"/>
    </row>
    <row r="228" spans="1:17" ht="21" thickTop="1">
      <c r="B228" s="100"/>
      <c r="C228" s="100"/>
      <c r="D228" s="130"/>
      <c r="E228" s="122"/>
      <c r="F228" s="122"/>
      <c r="G228" s="123"/>
      <c r="H228" s="123"/>
      <c r="I228" s="124"/>
      <c r="J228" s="131"/>
      <c r="K228" s="131"/>
      <c r="L228" s="126"/>
      <c r="M228" s="126"/>
      <c r="N228" s="126"/>
      <c r="O228" s="126"/>
      <c r="P228" s="126"/>
      <c r="Q228" s="100"/>
    </row>
    <row r="230" spans="1:17" ht="22.8">
      <c r="A230" s="27" t="s">
        <v>867</v>
      </c>
      <c r="B230" s="59"/>
    </row>
    <row r="231" spans="1:17" ht="15.6" thickBot="1"/>
    <row r="232" spans="1:17" ht="16.8" thickTop="1" thickBot="1">
      <c r="A232" s="507" t="s">
        <v>791</v>
      </c>
      <c r="B232" s="298"/>
      <c r="C232" s="298"/>
      <c r="D232" s="1037">
        <f>1.86/3.75</f>
        <v>0.49600000000000005</v>
      </c>
      <c r="E232" s="103"/>
    </row>
    <row r="233" spans="1:17" ht="16.2" thickTop="1" thickBot="1">
      <c r="A233" s="622"/>
      <c r="B233" s="302"/>
      <c r="C233" s="302"/>
      <c r="D233" s="786"/>
      <c r="E233" s="103"/>
    </row>
    <row r="234" spans="1:17" ht="15.6" thickTop="1">
      <c r="A234" s="299" t="s">
        <v>346</v>
      </c>
      <c r="B234" s="103"/>
      <c r="C234" s="103"/>
      <c r="D234" s="1025"/>
      <c r="E234" s="103"/>
    </row>
    <row r="235" spans="1:17" ht="15.6" thickBot="1">
      <c r="A235" s="299"/>
      <c r="B235" s="103"/>
      <c r="C235" s="103"/>
      <c r="D235" s="1025"/>
      <c r="E235" s="103"/>
    </row>
    <row r="236" spans="1:17" ht="15.6" thickTop="1">
      <c r="A236" s="617" t="s">
        <v>27</v>
      </c>
      <c r="B236" s="298"/>
      <c r="C236" s="1029" t="s">
        <v>347</v>
      </c>
      <c r="D236" s="1024" t="s">
        <v>345</v>
      </c>
      <c r="E236" s="103"/>
    </row>
    <row r="237" spans="1:17">
      <c r="A237" s="1026"/>
      <c r="B237" s="1027"/>
      <c r="C237" s="1030"/>
      <c r="D237" s="1028" t="s">
        <v>773</v>
      </c>
      <c r="E237" s="103"/>
    </row>
    <row r="238" spans="1:17">
      <c r="A238" s="1031" t="s">
        <v>541</v>
      </c>
      <c r="B238" s="1032"/>
      <c r="C238" s="1033">
        <f>+G32</f>
        <v>1353600</v>
      </c>
      <c r="D238" s="1387">
        <f>+(C238/$C$241)*$D$232</f>
        <v>0.23007155193683693</v>
      </c>
    </row>
    <row r="239" spans="1:17">
      <c r="A239" s="1031" t="s">
        <v>542</v>
      </c>
      <c r="B239" s="1032"/>
      <c r="C239" s="1033">
        <f>+G33</f>
        <v>1353600</v>
      </c>
      <c r="D239" s="1387">
        <f>+(C239/$C$241)*$D$232</f>
        <v>0.23007155193683693</v>
      </c>
    </row>
    <row r="240" spans="1:17">
      <c r="A240" s="512" t="s">
        <v>792</v>
      </c>
      <c r="B240" s="1032"/>
      <c r="C240" s="1033">
        <f>+G34</f>
        <v>210960</v>
      </c>
      <c r="D240" s="1387">
        <f>+(C240/$C$241)*$D$232</f>
        <v>3.5856896126326178E-2</v>
      </c>
    </row>
    <row r="241" spans="1:4" ht="15.6" thickBot="1">
      <c r="A241" s="630" t="s">
        <v>682</v>
      </c>
      <c r="B241" s="1034"/>
      <c r="C241" s="1035">
        <f>SUM(C238:C240)</f>
        <v>2918160</v>
      </c>
      <c r="D241" s="1036">
        <f>SUM(D238:D240)</f>
        <v>0.49600000000000005</v>
      </c>
    </row>
    <row r="242" spans="1:4" ht="15.6" thickTop="1"/>
  </sheetData>
  <mergeCells count="18">
    <mergeCell ref="A195:A198"/>
    <mergeCell ref="E184:F184"/>
    <mergeCell ref="C184:D184"/>
    <mergeCell ref="F156:G156"/>
    <mergeCell ref="A1:E1"/>
    <mergeCell ref="A3:F3"/>
    <mergeCell ref="B66:D66"/>
    <mergeCell ref="B67:D67"/>
    <mergeCell ref="B68:D68"/>
    <mergeCell ref="G184:I184"/>
    <mergeCell ref="A186:A189"/>
    <mergeCell ref="G17:I17"/>
    <mergeCell ref="H29:P29"/>
    <mergeCell ref="H30:J30"/>
    <mergeCell ref="K30:M30"/>
    <mergeCell ref="G18:I18"/>
    <mergeCell ref="B69:D69"/>
    <mergeCell ref="B70:D70"/>
  </mergeCells>
  <phoneticPr fontId="0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tabColor rgb="FF0000FF"/>
  </sheetPr>
  <dimension ref="A1:U573"/>
  <sheetViews>
    <sheetView topLeftCell="A271" zoomScale="75" zoomScaleNormal="75" workbookViewId="0">
      <selection activeCell="A281" sqref="A281:Q355"/>
    </sheetView>
  </sheetViews>
  <sheetFormatPr defaultRowHeight="15"/>
  <cols>
    <col min="2" max="2" width="9.08984375" customWidth="1"/>
    <col min="3" max="3" width="9.6328125" customWidth="1"/>
    <col min="4" max="4" width="10.453125" customWidth="1"/>
    <col min="5" max="5" width="19.08984375" customWidth="1"/>
    <col min="7" max="7" width="17.81640625" customWidth="1"/>
    <col min="8" max="8" width="33.81640625" customWidth="1"/>
    <col min="9" max="9" width="34.6328125" customWidth="1"/>
    <col min="10" max="10" width="18.1796875" customWidth="1"/>
    <col min="11" max="11" width="21.36328125" customWidth="1"/>
    <col min="13" max="13" width="24.08984375" customWidth="1"/>
    <col min="15" max="15" width="13.08984375" customWidth="1"/>
    <col min="17" max="17" width="12.6328125" customWidth="1"/>
    <col min="19" max="19" width="11.6328125" customWidth="1"/>
    <col min="21" max="21" width="17.81640625" customWidth="1"/>
  </cols>
  <sheetData>
    <row r="1" spans="1:21" ht="45" thickTop="1">
      <c r="A1" s="1551" t="s">
        <v>684</v>
      </c>
      <c r="B1" s="1552"/>
      <c r="C1" s="1552"/>
      <c r="D1" s="1552"/>
      <c r="E1" s="1552"/>
      <c r="F1" s="1552"/>
      <c r="G1" s="1552"/>
      <c r="H1" s="1552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348"/>
      <c r="T1" s="289"/>
      <c r="U1" s="435"/>
    </row>
    <row r="2" spans="1:21" ht="15.6" thickBot="1">
      <c r="A2" s="291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92"/>
    </row>
    <row r="3" spans="1:21" ht="23.4" thickTop="1">
      <c r="A3" s="278" t="s">
        <v>156</v>
      </c>
      <c r="B3" s="279"/>
      <c r="C3" s="279"/>
      <c r="D3" s="279"/>
      <c r="E3" s="279"/>
      <c r="F3" s="279"/>
      <c r="G3" s="279"/>
      <c r="H3" s="279"/>
      <c r="I3" s="280"/>
      <c r="J3" s="281"/>
      <c r="K3" s="282"/>
      <c r="L3" s="282"/>
      <c r="M3" s="282"/>
      <c r="N3" s="282"/>
      <c r="O3" s="282"/>
      <c r="P3" s="282"/>
      <c r="Q3" s="282"/>
      <c r="R3" s="282"/>
      <c r="S3" s="282"/>
      <c r="T3" s="283"/>
      <c r="U3" s="387"/>
    </row>
    <row r="4" spans="1:21" ht="18.600000000000001">
      <c r="A4" s="256"/>
      <c r="B4" s="62"/>
      <c r="C4" s="62"/>
      <c r="D4" s="62"/>
      <c r="E4" s="63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242"/>
      <c r="U4" s="389"/>
    </row>
    <row r="5" spans="1:21" ht="24.6">
      <c r="A5" s="256"/>
      <c r="B5" s="955"/>
      <c r="C5" s="955"/>
      <c r="D5" s="955"/>
      <c r="E5" s="955"/>
      <c r="F5" s="955"/>
      <c r="G5" s="64" t="s">
        <v>392</v>
      </c>
      <c r="H5" s="60"/>
      <c r="I5" s="60"/>
      <c r="J5" s="65" t="s">
        <v>788</v>
      </c>
      <c r="K5" s="66"/>
      <c r="L5" s="66"/>
      <c r="M5" s="66"/>
      <c r="N5" s="67"/>
      <c r="O5" s="61"/>
      <c r="P5" s="61"/>
      <c r="Q5" s="61"/>
      <c r="R5" s="61"/>
      <c r="S5" s="61"/>
      <c r="T5" s="242"/>
      <c r="U5" s="389"/>
    </row>
    <row r="6" spans="1:21" ht="32.4">
      <c r="A6" s="256"/>
      <c r="B6" s="955"/>
      <c r="C6" s="955"/>
      <c r="D6" s="955"/>
      <c r="E6" s="955"/>
      <c r="F6" s="955"/>
      <c r="G6" s="60"/>
      <c r="H6" s="60"/>
      <c r="I6" s="60"/>
      <c r="J6" s="350"/>
      <c r="K6" s="68"/>
      <c r="L6" s="68"/>
      <c r="M6" s="68"/>
      <c r="N6" s="69"/>
      <c r="O6" s="60"/>
      <c r="P6" s="60"/>
      <c r="Q6" s="61"/>
      <c r="R6" s="61"/>
      <c r="S6" s="61"/>
      <c r="T6" s="242"/>
      <c r="U6" s="389"/>
    </row>
    <row r="7" spans="1:21" ht="24.6">
      <c r="A7" s="257"/>
      <c r="B7" s="955"/>
      <c r="C7" s="955"/>
      <c r="D7" s="955"/>
      <c r="E7" s="955"/>
      <c r="F7" s="955"/>
      <c r="G7" s="64" t="s">
        <v>354</v>
      </c>
      <c r="H7" s="60"/>
      <c r="I7" s="60"/>
      <c r="J7" s="144" t="s">
        <v>582</v>
      </c>
      <c r="K7" s="66"/>
      <c r="L7" s="66"/>
      <c r="M7" s="66"/>
      <c r="N7" s="67"/>
      <c r="O7" s="60"/>
      <c r="P7" s="60"/>
      <c r="Q7" s="61"/>
      <c r="R7" s="61"/>
      <c r="S7" s="61"/>
      <c r="T7" s="242"/>
      <c r="U7" s="390"/>
    </row>
    <row r="8" spans="1:21" ht="19.2">
      <c r="A8" s="257"/>
      <c r="B8" s="955"/>
      <c r="C8" s="955"/>
      <c r="D8" s="955"/>
      <c r="E8" s="955"/>
      <c r="F8" s="955"/>
      <c r="G8" s="64"/>
      <c r="H8" s="60"/>
      <c r="I8" s="60"/>
      <c r="J8" s="70"/>
      <c r="K8" s="71"/>
      <c r="L8" s="71"/>
      <c r="M8" s="71"/>
      <c r="N8" s="72"/>
      <c r="O8" s="60"/>
      <c r="P8" s="60"/>
      <c r="Q8" s="61"/>
      <c r="R8" s="61"/>
      <c r="S8" s="61"/>
      <c r="T8" s="242"/>
      <c r="U8" s="390"/>
    </row>
    <row r="9" spans="1:21" ht="24.6">
      <c r="A9" s="257"/>
      <c r="B9" s="955"/>
      <c r="C9" s="955"/>
      <c r="D9" s="955"/>
      <c r="E9" s="955"/>
      <c r="F9" s="955"/>
      <c r="G9" s="64" t="s">
        <v>355</v>
      </c>
      <c r="H9" s="60"/>
      <c r="I9" s="60"/>
      <c r="J9" s="73">
        <f ca="1">TODAY()</f>
        <v>42149</v>
      </c>
      <c r="K9" s="71"/>
      <c r="L9" s="71"/>
      <c r="M9" s="71"/>
      <c r="N9" s="72"/>
      <c r="O9" s="60"/>
      <c r="P9" s="60"/>
      <c r="Q9" s="60"/>
      <c r="R9" s="60"/>
      <c r="S9" s="60"/>
      <c r="T9" s="242"/>
      <c r="U9" s="390"/>
    </row>
    <row r="10" spans="1:21">
      <c r="A10" s="257"/>
      <c r="B10" s="955"/>
      <c r="C10" s="955"/>
      <c r="D10" s="955"/>
      <c r="E10" s="955"/>
      <c r="F10" s="955"/>
      <c r="G10" s="61"/>
      <c r="H10" s="61"/>
      <c r="I10" s="61"/>
      <c r="J10" s="61"/>
      <c r="K10" s="61"/>
      <c r="L10" s="61"/>
      <c r="M10" s="61"/>
      <c r="N10" s="61"/>
      <c r="O10" s="60"/>
      <c r="P10" s="60"/>
      <c r="Q10" s="60"/>
      <c r="R10" s="60"/>
      <c r="S10" s="60"/>
      <c r="T10" s="242"/>
      <c r="U10" s="390"/>
    </row>
    <row r="11" spans="1:21" ht="19.2" thickBot="1">
      <c r="A11" s="257"/>
      <c r="B11" s="955"/>
      <c r="C11" s="955"/>
      <c r="D11" s="955"/>
      <c r="E11" s="955"/>
      <c r="F11" s="955"/>
      <c r="G11" s="61"/>
      <c r="H11" s="61"/>
      <c r="I11" s="61"/>
      <c r="J11" s="60"/>
      <c r="K11" s="74"/>
      <c r="L11" s="60"/>
      <c r="M11" s="60"/>
      <c r="N11" s="61"/>
      <c r="O11" s="60"/>
      <c r="P11" s="60"/>
      <c r="Q11" s="60"/>
      <c r="R11" s="60"/>
      <c r="S11" s="60"/>
      <c r="T11" s="242"/>
      <c r="U11" s="390"/>
    </row>
    <row r="12" spans="1:21" ht="19.2" thickTop="1">
      <c r="A12" s="257"/>
      <c r="B12" s="955"/>
      <c r="C12" s="955"/>
      <c r="D12" s="955"/>
      <c r="E12" s="955"/>
      <c r="F12" s="955"/>
      <c r="G12" s="61"/>
      <c r="H12" s="61"/>
      <c r="I12" s="61"/>
      <c r="J12" s="95"/>
      <c r="K12" s="75" t="s">
        <v>393</v>
      </c>
      <c r="L12" s="60"/>
      <c r="M12" s="60"/>
      <c r="N12" s="61"/>
      <c r="O12" s="60"/>
      <c r="P12" s="60"/>
      <c r="Q12" s="60"/>
      <c r="R12" s="60"/>
      <c r="S12" s="60"/>
      <c r="T12" s="242"/>
      <c r="U12" s="390"/>
    </row>
    <row r="13" spans="1:21" ht="15.6" thickBot="1">
      <c r="A13" s="255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243"/>
      <c r="U13" s="388"/>
    </row>
    <row r="14" spans="1:21" ht="23.4" thickTop="1">
      <c r="A14" s="258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246"/>
      <c r="U14" s="391"/>
    </row>
    <row r="15" spans="1:21" ht="22.8">
      <c r="A15" s="259" t="s">
        <v>394</v>
      </c>
      <c r="B15" s="77" t="s">
        <v>395</v>
      </c>
      <c r="C15" s="78"/>
      <c r="D15" s="78"/>
      <c r="E15" s="78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244"/>
      <c r="U15" s="392"/>
    </row>
    <row r="16" spans="1:21" ht="23.4" thickBot="1">
      <c r="A16" s="82"/>
      <c r="B16" s="79"/>
      <c r="C16" s="79"/>
      <c r="D16" s="79"/>
      <c r="E16" s="79"/>
      <c r="F16" s="79"/>
      <c r="G16" s="79"/>
      <c r="H16" s="80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244"/>
      <c r="U16" s="393"/>
    </row>
    <row r="17" spans="1:21" ht="24" thickTop="1" thickBot="1">
      <c r="A17" s="260" t="s">
        <v>396</v>
      </c>
      <c r="B17" s="81" t="s">
        <v>397</v>
      </c>
      <c r="C17" s="81"/>
      <c r="D17" s="81"/>
      <c r="E17" s="81"/>
      <c r="F17" s="79"/>
      <c r="G17" s="79"/>
      <c r="H17" s="80"/>
      <c r="I17" s="150" t="s">
        <v>19</v>
      </c>
      <c r="J17" s="82"/>
      <c r="K17" s="79"/>
      <c r="L17" s="79"/>
      <c r="M17" s="79"/>
      <c r="N17" s="79"/>
      <c r="O17" s="79"/>
      <c r="P17" s="79"/>
      <c r="Q17" s="79"/>
      <c r="R17" s="79"/>
      <c r="S17" s="79"/>
      <c r="T17" s="244"/>
      <c r="U17" s="394"/>
    </row>
    <row r="18" spans="1:21" ht="24" thickTop="1" thickBot="1">
      <c r="A18" s="82"/>
      <c r="B18" s="79"/>
      <c r="C18" s="79"/>
      <c r="D18" s="79"/>
      <c r="E18" s="79"/>
      <c r="F18" s="79"/>
      <c r="G18" s="79"/>
      <c r="H18" s="80"/>
      <c r="I18" s="76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244"/>
      <c r="U18" s="393"/>
    </row>
    <row r="19" spans="1:21" ht="24" thickTop="1" thickBot="1">
      <c r="A19" s="261" t="s">
        <v>398</v>
      </c>
      <c r="B19" s="83" t="s">
        <v>399</v>
      </c>
      <c r="C19" s="79"/>
      <c r="D19" s="79"/>
      <c r="E19" s="79"/>
      <c r="F19" s="79"/>
      <c r="G19" s="79"/>
      <c r="H19" s="80"/>
      <c r="I19" s="157">
        <v>360</v>
      </c>
      <c r="J19" s="82"/>
      <c r="K19" s="79"/>
      <c r="L19" s="79"/>
      <c r="M19" s="79"/>
      <c r="N19" s="79"/>
      <c r="O19" s="79"/>
      <c r="P19" s="79"/>
      <c r="Q19" s="79"/>
      <c r="R19" s="79"/>
      <c r="S19" s="79"/>
      <c r="T19" s="244"/>
      <c r="U19" s="395"/>
    </row>
    <row r="20" spans="1:21" ht="24" thickTop="1" thickBot="1">
      <c r="A20" s="82"/>
      <c r="B20" s="79"/>
      <c r="C20" s="79"/>
      <c r="D20" s="79"/>
      <c r="E20" s="79"/>
      <c r="F20" s="79"/>
      <c r="G20" s="79"/>
      <c r="H20" s="80"/>
      <c r="I20" s="76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244"/>
      <c r="U20" s="393"/>
    </row>
    <row r="21" spans="1:21" ht="24" thickTop="1" thickBot="1">
      <c r="A21" s="1010" t="s">
        <v>400</v>
      </c>
      <c r="B21" s="83" t="s">
        <v>401</v>
      </c>
      <c r="C21" s="79"/>
      <c r="D21" s="79"/>
      <c r="E21" s="79"/>
      <c r="F21" s="79"/>
      <c r="G21" s="79"/>
      <c r="H21" s="80"/>
      <c r="I21" s="468" t="s">
        <v>583</v>
      </c>
      <c r="J21" s="82"/>
      <c r="K21" s="79"/>
      <c r="L21" s="79"/>
      <c r="M21" s="79"/>
      <c r="N21" s="79"/>
      <c r="O21" s="79"/>
      <c r="P21" s="79"/>
      <c r="Q21" s="79"/>
      <c r="R21" s="79"/>
      <c r="S21" s="79"/>
      <c r="T21" s="244"/>
      <c r="U21" s="395"/>
    </row>
    <row r="22" spans="1:21" ht="24" thickTop="1" thickBot="1">
      <c r="A22" s="82"/>
      <c r="B22" s="79"/>
      <c r="C22" s="79"/>
      <c r="D22" s="79"/>
      <c r="E22" s="79"/>
      <c r="F22" s="79"/>
      <c r="G22" s="79"/>
      <c r="H22" s="80"/>
      <c r="I22" s="84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244"/>
      <c r="U22" s="393"/>
    </row>
    <row r="23" spans="1:21" ht="24" thickTop="1" thickBot="1">
      <c r="A23" s="261" t="s">
        <v>402</v>
      </c>
      <c r="B23" s="83" t="s">
        <v>403</v>
      </c>
      <c r="C23" s="79"/>
      <c r="D23" s="79"/>
      <c r="E23" s="79"/>
      <c r="F23" s="79"/>
      <c r="G23" s="79"/>
      <c r="H23" s="80"/>
      <c r="I23" s="468" t="s">
        <v>592</v>
      </c>
      <c r="J23" s="82"/>
      <c r="K23" s="79"/>
      <c r="L23" s="79"/>
      <c r="M23" s="79"/>
      <c r="N23" s="79"/>
      <c r="O23" s="79"/>
      <c r="P23" s="79"/>
      <c r="Q23" s="79"/>
      <c r="R23" s="79"/>
      <c r="S23" s="79"/>
      <c r="T23" s="244"/>
      <c r="U23" s="395"/>
    </row>
    <row r="24" spans="1:21" ht="24" thickTop="1" thickBot="1">
      <c r="A24" s="261"/>
      <c r="B24" s="83"/>
      <c r="C24" s="79"/>
      <c r="D24" s="79"/>
      <c r="E24" s="79"/>
      <c r="F24" s="79"/>
      <c r="G24" s="79"/>
      <c r="H24" s="80"/>
      <c r="I24" s="85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244"/>
      <c r="U24" s="395"/>
    </row>
    <row r="25" spans="1:21" ht="24" thickTop="1" thickBot="1">
      <c r="A25" s="261" t="s">
        <v>404</v>
      </c>
      <c r="B25" s="83" t="s">
        <v>405</v>
      </c>
      <c r="C25" s="79"/>
      <c r="D25" s="79"/>
      <c r="E25" s="79"/>
      <c r="F25" s="79"/>
      <c r="G25" s="79"/>
      <c r="H25" s="80"/>
      <c r="I25" s="384">
        <f>sysdata!E25</f>
        <v>470</v>
      </c>
      <c r="J25" s="82"/>
      <c r="K25" s="79"/>
      <c r="L25" s="79"/>
      <c r="M25" s="79"/>
      <c r="N25" s="79"/>
      <c r="O25" s="79"/>
      <c r="P25" s="79"/>
      <c r="Q25" s="79"/>
      <c r="R25" s="79"/>
      <c r="S25" s="79"/>
      <c r="T25" s="244"/>
      <c r="U25" s="395"/>
    </row>
    <row r="26" spans="1:21" ht="24" thickTop="1" thickBot="1">
      <c r="A26" s="261"/>
      <c r="B26" s="83"/>
      <c r="C26" s="79"/>
      <c r="D26" s="79"/>
      <c r="E26" s="79"/>
      <c r="F26" s="79"/>
      <c r="G26" s="79"/>
      <c r="H26" s="80"/>
      <c r="I26" s="224"/>
      <c r="J26" s="183"/>
      <c r="K26" s="79"/>
      <c r="L26" s="79"/>
      <c r="M26" s="79"/>
      <c r="N26" s="79"/>
      <c r="O26" s="79"/>
      <c r="P26" s="79"/>
      <c r="Q26" s="79"/>
      <c r="R26" s="79"/>
      <c r="S26" s="79"/>
      <c r="T26" s="248"/>
      <c r="U26" s="395"/>
    </row>
    <row r="27" spans="1:21" ht="23.4" thickTop="1">
      <c r="A27" s="262"/>
      <c r="B27" s="31"/>
      <c r="C27" s="31"/>
      <c r="D27" s="31"/>
      <c r="E27" s="31"/>
      <c r="F27" s="31"/>
      <c r="G27" s="31"/>
      <c r="H27" s="32"/>
      <c r="I27" s="89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37"/>
      <c r="U27" s="396"/>
    </row>
    <row r="28" spans="1:21" ht="22.8">
      <c r="A28" s="263" t="s">
        <v>406</v>
      </c>
      <c r="B28" s="34" t="s">
        <v>407</v>
      </c>
      <c r="C28" s="29"/>
      <c r="D28" s="29"/>
      <c r="E28" s="29"/>
      <c r="F28" s="29"/>
      <c r="G28" s="29"/>
      <c r="H28" s="35"/>
      <c r="I28" s="36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37"/>
      <c r="U28" s="397"/>
    </row>
    <row r="29" spans="1:21" ht="23.4" thickBot="1">
      <c r="A29" s="46"/>
      <c r="B29" s="29"/>
      <c r="C29" s="29"/>
      <c r="D29" s="29"/>
      <c r="E29" s="29"/>
      <c r="F29" s="29"/>
      <c r="G29" s="29"/>
      <c r="H29" s="35"/>
      <c r="I29" s="36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37"/>
      <c r="U29" s="398"/>
    </row>
    <row r="30" spans="1:21" ht="24" thickTop="1" thickBot="1">
      <c r="A30" s="264" t="s">
        <v>351</v>
      </c>
      <c r="B30" s="87" t="s">
        <v>39</v>
      </c>
      <c r="C30" s="29"/>
      <c r="D30" s="29"/>
      <c r="E30" s="29"/>
      <c r="F30" s="29"/>
      <c r="G30" s="29"/>
      <c r="H30" s="35"/>
      <c r="I30" s="156">
        <v>2</v>
      </c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37"/>
      <c r="U30" s="399"/>
    </row>
    <row r="31" spans="1:21" ht="24" thickTop="1" thickBot="1">
      <c r="A31" s="46"/>
      <c r="B31" s="29"/>
      <c r="C31" s="29"/>
      <c r="D31" s="29"/>
      <c r="E31" s="29"/>
      <c r="F31" s="29"/>
      <c r="G31" s="29"/>
      <c r="H31" s="35"/>
      <c r="I31" s="36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37"/>
      <c r="U31" s="398"/>
    </row>
    <row r="32" spans="1:21" ht="24" thickTop="1" thickBot="1">
      <c r="A32" s="264" t="s">
        <v>409</v>
      </c>
      <c r="B32" s="87" t="s">
        <v>40</v>
      </c>
      <c r="C32" s="29"/>
      <c r="D32" s="29"/>
      <c r="E32" s="29"/>
      <c r="F32" s="29"/>
      <c r="G32" s="29"/>
      <c r="H32" s="35"/>
      <c r="I32" s="220">
        <v>0.5</v>
      </c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37"/>
      <c r="U32" s="399"/>
    </row>
    <row r="33" spans="1:21" ht="24" thickTop="1" thickBot="1">
      <c r="A33" s="46"/>
      <c r="B33" s="29"/>
      <c r="C33" s="29"/>
      <c r="D33" s="29"/>
      <c r="E33" s="29"/>
      <c r="F33" s="29"/>
      <c r="G33" s="29"/>
      <c r="H33" s="35"/>
      <c r="I33" s="36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37"/>
      <c r="U33" s="398"/>
    </row>
    <row r="34" spans="1:21" ht="24" thickTop="1" thickBot="1">
      <c r="A34" s="265" t="s">
        <v>412</v>
      </c>
      <c r="B34" s="38" t="s">
        <v>31</v>
      </c>
      <c r="C34" s="29"/>
      <c r="D34" s="29"/>
      <c r="E34" s="29"/>
      <c r="F34" s="29"/>
      <c r="G34" s="29"/>
      <c r="H34" s="35"/>
      <c r="I34" s="107">
        <v>2823000</v>
      </c>
      <c r="J34" s="106" t="s">
        <v>32</v>
      </c>
      <c r="K34" s="39"/>
      <c r="L34" s="29"/>
      <c r="M34" s="29"/>
      <c r="N34" s="29"/>
      <c r="O34" s="29"/>
      <c r="P34" s="29"/>
      <c r="Q34" s="29"/>
      <c r="R34" s="29"/>
      <c r="S34" s="29"/>
      <c r="T34" s="237"/>
      <c r="U34" s="400"/>
    </row>
    <row r="35" spans="1:21" ht="23.4" thickTop="1">
      <c r="A35" s="266"/>
      <c r="B35" s="38"/>
      <c r="C35" s="29"/>
      <c r="D35" s="29"/>
      <c r="E35" s="29"/>
      <c r="F35" s="29"/>
      <c r="G35" s="29"/>
      <c r="H35" s="35"/>
      <c r="I35" s="151">
        <v>8</v>
      </c>
      <c r="J35" s="151"/>
      <c r="K35" s="152"/>
      <c r="L35" s="29"/>
      <c r="M35" s="29"/>
      <c r="N35" s="29"/>
      <c r="O35" s="29"/>
      <c r="P35" s="29"/>
      <c r="Q35" s="29"/>
      <c r="R35" s="29"/>
      <c r="S35" s="29"/>
      <c r="T35" s="237"/>
      <c r="U35" s="401"/>
    </row>
    <row r="36" spans="1:21" ht="22.8">
      <c r="A36" s="265" t="s">
        <v>415</v>
      </c>
      <c r="B36" s="38" t="s">
        <v>37</v>
      </c>
      <c r="C36" s="29"/>
      <c r="D36" s="29"/>
      <c r="E36" s="29"/>
      <c r="F36" s="29"/>
      <c r="G36" s="29"/>
      <c r="H36" s="35"/>
      <c r="I36" s="888">
        <f>IF(I34&gt;I38,+I34/(I42+I46),+I38/(I44+I46))</f>
        <v>201642.85714285713</v>
      </c>
      <c r="J36" s="1462" t="s">
        <v>408</v>
      </c>
      <c r="K36" s="152"/>
      <c r="L36" s="29"/>
      <c r="M36" s="29"/>
      <c r="N36" s="29"/>
      <c r="O36" s="29"/>
      <c r="P36" s="29"/>
      <c r="Q36" s="29"/>
      <c r="R36" s="29"/>
      <c r="S36" s="29"/>
      <c r="T36" s="237"/>
      <c r="U36" s="400"/>
    </row>
    <row r="37" spans="1:21" ht="22.8">
      <c r="A37" s="266"/>
      <c r="B37" s="38"/>
      <c r="C37" s="29"/>
      <c r="D37" s="29"/>
      <c r="E37" s="29"/>
      <c r="F37" s="29"/>
      <c r="G37" s="29"/>
      <c r="H37" s="35"/>
      <c r="I37" s="1461"/>
      <c r="J37" s="165"/>
      <c r="K37" s="152"/>
      <c r="L37" s="29"/>
      <c r="M37" s="29"/>
      <c r="N37" s="29"/>
      <c r="O37" s="29"/>
      <c r="P37" s="29"/>
      <c r="Q37" s="29"/>
      <c r="R37" s="29"/>
      <c r="S37" s="29"/>
      <c r="T37" s="237"/>
      <c r="U37" s="401"/>
    </row>
    <row r="38" spans="1:21" ht="22.8">
      <c r="A38" s="265" t="s">
        <v>417</v>
      </c>
      <c r="B38" s="38" t="s">
        <v>36</v>
      </c>
      <c r="C38" s="29"/>
      <c r="D38" s="29"/>
      <c r="E38" s="29"/>
      <c r="F38" s="29"/>
      <c r="G38" s="29"/>
      <c r="H38" s="35"/>
      <c r="I38" s="1463">
        <f>IF(I30&gt;1,I34*I32,0)</f>
        <v>1411500</v>
      </c>
      <c r="J38" s="1462" t="s">
        <v>32</v>
      </c>
      <c r="K38" s="152"/>
      <c r="L38" s="29"/>
      <c r="M38" s="383"/>
      <c r="N38" s="29"/>
      <c r="O38" s="29"/>
      <c r="P38" s="29"/>
      <c r="Q38" s="29"/>
      <c r="R38" s="29"/>
      <c r="S38" s="29"/>
      <c r="T38" s="237"/>
      <c r="U38" s="400"/>
    </row>
    <row r="39" spans="1:21" ht="22.8">
      <c r="A39" s="266"/>
      <c r="B39" s="38"/>
      <c r="C39" s="29"/>
      <c r="D39" s="29"/>
      <c r="E39" s="29"/>
      <c r="F39" s="29"/>
      <c r="G39" s="29"/>
      <c r="H39" s="35"/>
      <c r="I39" s="1461"/>
      <c r="J39" s="165"/>
      <c r="K39" s="152"/>
      <c r="L39" s="29"/>
      <c r="M39" s="29"/>
      <c r="N39" s="29"/>
      <c r="O39" s="29"/>
      <c r="P39" s="29"/>
      <c r="Q39" s="29"/>
      <c r="R39" s="29"/>
      <c r="S39" s="29"/>
      <c r="T39" s="237"/>
      <c r="U39" s="401"/>
    </row>
    <row r="40" spans="1:21" ht="22.8">
      <c r="A40" s="265" t="s">
        <v>420</v>
      </c>
      <c r="B40" s="38" t="s">
        <v>38</v>
      </c>
      <c r="C40" s="29"/>
      <c r="D40" s="29"/>
      <c r="E40" s="29"/>
      <c r="F40" s="29"/>
      <c r="G40" s="29"/>
      <c r="H40" s="35"/>
      <c r="I40" s="888">
        <f>IF(I38&gt;I34,I38/(I44+I46),I34/(I42+I46))</f>
        <v>201642.85714285713</v>
      </c>
      <c r="J40" s="155" t="s">
        <v>408</v>
      </c>
      <c r="K40" s="152"/>
      <c r="L40" s="29"/>
      <c r="M40" s="29"/>
      <c r="N40" s="29"/>
      <c r="O40" s="29"/>
      <c r="P40" s="29"/>
      <c r="Q40" s="29"/>
      <c r="R40" s="29"/>
      <c r="S40" s="29"/>
      <c r="T40" s="237"/>
      <c r="U40" s="400"/>
    </row>
    <row r="41" spans="1:21" ht="23.4" thickBot="1">
      <c r="A41" s="266"/>
      <c r="B41" s="38"/>
      <c r="C41" s="29"/>
      <c r="D41" s="29"/>
      <c r="E41" s="29"/>
      <c r="F41" s="29"/>
      <c r="G41" s="29"/>
      <c r="H41" s="35"/>
      <c r="I41" s="154"/>
      <c r="J41" s="154"/>
      <c r="K41" s="152"/>
      <c r="L41" s="29"/>
      <c r="M41" s="29"/>
      <c r="N41" s="29"/>
      <c r="O41" s="29"/>
      <c r="P41" s="29"/>
      <c r="Q41" s="29"/>
      <c r="R41" s="29"/>
      <c r="S41" s="29"/>
      <c r="T41" s="237"/>
      <c r="U41" s="401"/>
    </row>
    <row r="42" spans="1:21" ht="24" thickTop="1" thickBot="1">
      <c r="A42" s="265" t="s">
        <v>421</v>
      </c>
      <c r="B42" s="38" t="s">
        <v>33</v>
      </c>
      <c r="C42" s="29"/>
      <c r="D42" s="29"/>
      <c r="E42" s="29"/>
      <c r="F42" s="29"/>
      <c r="G42" s="29"/>
      <c r="H42" s="35"/>
      <c r="I42" s="106">
        <v>11.6</v>
      </c>
      <c r="J42" s="106" t="s">
        <v>32</v>
      </c>
      <c r="K42" s="39"/>
      <c r="L42" s="29"/>
      <c r="M42" s="29"/>
      <c r="N42" s="29"/>
      <c r="O42" s="29"/>
      <c r="P42" s="29"/>
      <c r="Q42" s="29"/>
      <c r="R42" s="29"/>
      <c r="S42" s="29"/>
      <c r="T42" s="237"/>
      <c r="U42" s="400"/>
    </row>
    <row r="43" spans="1:21" ht="24" thickTop="1" thickBot="1">
      <c r="A43" s="266"/>
      <c r="B43" s="38"/>
      <c r="C43" s="29"/>
      <c r="D43" s="29"/>
      <c r="E43" s="29"/>
      <c r="F43" s="29"/>
      <c r="G43" s="29"/>
      <c r="H43" s="35"/>
      <c r="I43" s="153"/>
      <c r="J43" s="153"/>
      <c r="K43" s="152"/>
      <c r="L43" s="29"/>
      <c r="M43" s="29"/>
      <c r="N43" s="29"/>
      <c r="O43" s="29"/>
      <c r="P43" s="29"/>
      <c r="Q43" s="29"/>
      <c r="R43" s="29"/>
      <c r="S43" s="29"/>
      <c r="T43" s="237"/>
      <c r="U43" s="401"/>
    </row>
    <row r="44" spans="1:21" ht="24" thickTop="1" thickBot="1">
      <c r="A44" s="265" t="s">
        <v>424</v>
      </c>
      <c r="B44" s="38" t="s">
        <v>34</v>
      </c>
      <c r="C44" s="29"/>
      <c r="D44" s="29"/>
      <c r="E44" s="29"/>
      <c r="F44" s="29"/>
      <c r="G44" s="29"/>
      <c r="H44" s="35"/>
      <c r="I44" s="106">
        <f>IF(I30&gt;1,I42*I32,(1-I32)*0)</f>
        <v>5.8</v>
      </c>
      <c r="J44" s="106" t="s">
        <v>32</v>
      </c>
      <c r="K44" s="39"/>
      <c r="L44" s="29"/>
      <c r="M44" s="29"/>
      <c r="N44" s="29"/>
      <c r="O44" s="29"/>
      <c r="P44" s="29"/>
      <c r="Q44" s="29"/>
      <c r="R44" s="29"/>
      <c r="S44" s="29"/>
      <c r="T44" s="237"/>
      <c r="U44" s="400"/>
    </row>
    <row r="45" spans="1:21" ht="24" thickTop="1" thickBot="1">
      <c r="A45" s="266"/>
      <c r="B45" s="38"/>
      <c r="C45" s="29"/>
      <c r="D45" s="29"/>
      <c r="E45" s="29"/>
      <c r="F45" s="29"/>
      <c r="G45" s="29"/>
      <c r="H45" s="35"/>
      <c r="I45" s="153"/>
      <c r="J45" s="153"/>
      <c r="K45" s="152"/>
      <c r="L45" s="29"/>
      <c r="M45" s="29"/>
      <c r="N45" s="29"/>
      <c r="O45" s="29"/>
      <c r="P45" s="29"/>
      <c r="Q45" s="29"/>
      <c r="R45" s="29"/>
      <c r="S45" s="29"/>
      <c r="T45" s="237"/>
      <c r="U45" s="401"/>
    </row>
    <row r="46" spans="1:21" ht="24" thickTop="1" thickBot="1">
      <c r="A46" s="265" t="s">
        <v>426</v>
      </c>
      <c r="B46" s="38" t="s">
        <v>35</v>
      </c>
      <c r="C46" s="29"/>
      <c r="D46" s="29"/>
      <c r="E46" s="29"/>
      <c r="F46" s="29"/>
      <c r="G46" s="29"/>
      <c r="H46" s="35"/>
      <c r="I46" s="106">
        <v>2.4</v>
      </c>
      <c r="J46" s="106" t="s">
        <v>32</v>
      </c>
      <c r="K46" s="39"/>
      <c r="L46" s="29"/>
      <c r="M46" s="29"/>
      <c r="N46" s="29"/>
      <c r="O46" s="29"/>
      <c r="P46" s="29"/>
      <c r="Q46" s="29"/>
      <c r="R46" s="29"/>
      <c r="S46" s="29"/>
      <c r="T46" s="237"/>
      <c r="U46" s="400"/>
    </row>
    <row r="47" spans="1:21" ht="24" thickTop="1" thickBot="1">
      <c r="A47" s="266"/>
      <c r="B47" s="38"/>
      <c r="C47" s="29"/>
      <c r="D47" s="29"/>
      <c r="E47" s="29"/>
      <c r="F47" s="29"/>
      <c r="G47" s="29"/>
      <c r="H47" s="35"/>
      <c r="I47" s="151"/>
      <c r="J47" s="151"/>
      <c r="K47" s="152"/>
      <c r="L47" s="29"/>
      <c r="M47" s="29"/>
      <c r="N47" s="29"/>
      <c r="O47" s="29"/>
      <c r="P47" s="29"/>
      <c r="Q47" s="29"/>
      <c r="R47" s="29"/>
      <c r="S47" s="29"/>
      <c r="T47" s="237"/>
      <c r="U47" s="401"/>
    </row>
    <row r="48" spans="1:21" ht="24" thickTop="1" thickBot="1">
      <c r="A48" s="267" t="s">
        <v>429</v>
      </c>
      <c r="B48" s="40" t="s">
        <v>410</v>
      </c>
      <c r="C48" s="41"/>
      <c r="D48" s="41"/>
      <c r="E48" s="41"/>
      <c r="F48" s="41"/>
      <c r="G48" s="41"/>
      <c r="H48" s="41"/>
      <c r="I48" s="106" t="s">
        <v>411</v>
      </c>
      <c r="J48" s="42"/>
      <c r="K48" s="41"/>
      <c r="L48" s="41"/>
      <c r="M48" s="41"/>
      <c r="N48" s="41"/>
      <c r="O48" s="41"/>
      <c r="P48" s="41"/>
      <c r="Q48" s="41"/>
      <c r="R48" s="41"/>
      <c r="S48" s="41"/>
      <c r="T48" s="237"/>
      <c r="U48" s="402"/>
    </row>
    <row r="49" spans="1:21" ht="24" thickTop="1" thickBot="1">
      <c r="A49" s="42"/>
      <c r="B49" s="41"/>
      <c r="C49" s="41"/>
      <c r="D49" s="41"/>
      <c r="E49" s="41"/>
      <c r="F49" s="41"/>
      <c r="G49" s="41"/>
      <c r="H49" s="41"/>
      <c r="I49" s="43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237"/>
      <c r="U49" s="403"/>
    </row>
    <row r="50" spans="1:21" ht="24" thickTop="1" thickBot="1">
      <c r="A50" s="267" t="s">
        <v>433</v>
      </c>
      <c r="B50" s="40" t="s">
        <v>413</v>
      </c>
      <c r="C50" s="41"/>
      <c r="D50" s="41"/>
      <c r="E50" s="41"/>
      <c r="F50" s="41"/>
      <c r="G50" s="41"/>
      <c r="H50" s="41"/>
      <c r="I50" s="106" t="str">
        <f>IF(I30=1,"NO", "YES")</f>
        <v>YES</v>
      </c>
      <c r="J50" s="42"/>
      <c r="K50" s="41"/>
      <c r="L50" s="41"/>
      <c r="M50" s="41"/>
      <c r="N50" s="41"/>
      <c r="O50" s="41"/>
      <c r="P50" s="41"/>
      <c r="Q50" s="41"/>
      <c r="R50" s="41"/>
      <c r="S50" s="237"/>
      <c r="T50" s="237"/>
      <c r="U50" s="402"/>
    </row>
    <row r="51" spans="1:21" ht="24" thickTop="1" thickBot="1">
      <c r="A51" s="266"/>
      <c r="B51" s="38"/>
      <c r="C51" s="29"/>
      <c r="D51" s="29"/>
      <c r="E51" s="29"/>
      <c r="F51" s="29"/>
      <c r="G51" s="29"/>
      <c r="H51" s="35"/>
      <c r="I51" s="33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37"/>
      <c r="U51" s="401"/>
    </row>
    <row r="52" spans="1:21" ht="23.4" thickTop="1">
      <c r="A52" s="278" t="s">
        <v>156</v>
      </c>
      <c r="B52" s="279"/>
      <c r="C52" s="279"/>
      <c r="D52" s="279"/>
      <c r="E52" s="279"/>
      <c r="F52" s="279"/>
      <c r="G52" s="279"/>
      <c r="H52" s="279"/>
      <c r="I52" s="280"/>
      <c r="J52" s="281"/>
      <c r="K52" s="282"/>
      <c r="L52" s="282"/>
      <c r="M52" s="282"/>
      <c r="N52" s="282"/>
      <c r="O52" s="282"/>
      <c r="P52" s="282"/>
      <c r="Q52" s="282"/>
      <c r="R52" s="282"/>
      <c r="S52" s="282"/>
      <c r="T52" s="283"/>
      <c r="U52" s="387"/>
    </row>
    <row r="53" spans="1:21" ht="22.8">
      <c r="A53" s="266"/>
      <c r="B53" s="38"/>
      <c r="C53" s="29"/>
      <c r="D53" s="29"/>
      <c r="E53" s="29"/>
      <c r="F53" s="29"/>
      <c r="G53" s="29"/>
      <c r="H53" s="35"/>
      <c r="I53" s="901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37"/>
      <c r="U53" s="401"/>
    </row>
    <row r="54" spans="1:21" ht="22.8">
      <c r="A54" s="263" t="s">
        <v>406</v>
      </c>
      <c r="B54" s="34" t="s">
        <v>157</v>
      </c>
      <c r="C54" s="29"/>
      <c r="D54" s="29"/>
      <c r="E54" s="29"/>
      <c r="F54" s="29"/>
      <c r="G54" s="29"/>
      <c r="H54" s="35"/>
      <c r="I54" s="901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37"/>
      <c r="U54" s="397"/>
    </row>
    <row r="55" spans="1:21" ht="22.8">
      <c r="A55" s="266"/>
      <c r="B55" s="38"/>
      <c r="C55" s="29"/>
      <c r="D55" s="29"/>
      <c r="E55" s="29"/>
      <c r="F55" s="29"/>
      <c r="G55" s="29"/>
      <c r="H55" s="35"/>
      <c r="I55" s="901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37"/>
      <c r="U55" s="401"/>
    </row>
    <row r="56" spans="1:21" ht="22.8">
      <c r="A56" s="265" t="s">
        <v>435</v>
      </c>
      <c r="B56" s="38" t="s">
        <v>416</v>
      </c>
      <c r="C56" s="35"/>
      <c r="D56" s="35"/>
      <c r="E56" s="35"/>
      <c r="F56" s="35"/>
      <c r="G56" s="35"/>
      <c r="H56" s="35"/>
      <c r="I56" s="902"/>
      <c r="J56" s="35"/>
      <c r="K56" s="29"/>
      <c r="L56" s="35"/>
      <c r="M56" s="54"/>
      <c r="N56" s="29"/>
      <c r="O56" s="29"/>
      <c r="P56" s="29"/>
      <c r="Q56" s="29"/>
      <c r="R56" s="29"/>
      <c r="S56" s="29"/>
      <c r="T56" s="237"/>
      <c r="U56" s="400"/>
    </row>
    <row r="57" spans="1:21" ht="23.4" thickBot="1">
      <c r="A57" s="46"/>
      <c r="B57" s="29"/>
      <c r="C57" s="29"/>
      <c r="D57" s="29"/>
      <c r="E57" s="29"/>
      <c r="F57" s="29"/>
      <c r="G57" s="29"/>
      <c r="H57" s="35"/>
      <c r="I57" s="903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37"/>
      <c r="U57" s="398"/>
    </row>
    <row r="58" spans="1:21" ht="23.4" thickTop="1">
      <c r="A58" s="767" t="s">
        <v>436</v>
      </c>
      <c r="B58" s="29"/>
      <c r="C58" s="439" t="s">
        <v>833</v>
      </c>
      <c r="D58" s="29"/>
      <c r="E58" s="29"/>
      <c r="F58" s="29"/>
      <c r="G58" s="29"/>
      <c r="H58" s="35"/>
      <c r="I58" s="1246">
        <v>0.8</v>
      </c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37"/>
      <c r="U58" s="1467"/>
    </row>
    <row r="59" spans="1:21" ht="22.8">
      <c r="A59" s="46"/>
      <c r="B59" s="29"/>
      <c r="C59" s="29"/>
      <c r="D59" s="29"/>
      <c r="E59" s="29"/>
      <c r="F59" s="29"/>
      <c r="G59" s="29"/>
      <c r="H59" s="35"/>
      <c r="I59" s="903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37"/>
      <c r="U59" s="1467"/>
    </row>
    <row r="60" spans="1:21" ht="22.8">
      <c r="A60" s="266" t="s">
        <v>438</v>
      </c>
      <c r="B60" s="29"/>
      <c r="C60" s="38" t="s">
        <v>113</v>
      </c>
      <c r="D60" s="29"/>
      <c r="E60" s="29"/>
      <c r="F60" s="29"/>
      <c r="G60" s="29"/>
      <c r="H60" s="35"/>
      <c r="I60" s="1466">
        <f>sysdata!H100*containers!I58</f>
        <v>3.2</v>
      </c>
      <c r="J60" s="1465"/>
      <c r="K60" s="29"/>
      <c r="L60" s="29"/>
      <c r="M60" s="29"/>
      <c r="N60" s="29"/>
      <c r="O60" s="29"/>
      <c r="P60" s="29"/>
      <c r="Q60" s="29"/>
      <c r="R60" s="29"/>
      <c r="S60" s="29"/>
      <c r="T60" s="237"/>
      <c r="U60" s="225"/>
    </row>
    <row r="61" spans="1:21" ht="22.8">
      <c r="A61" s="46"/>
      <c r="B61" s="29"/>
      <c r="C61" s="29"/>
      <c r="D61" s="29"/>
      <c r="E61" s="29"/>
      <c r="F61" s="29"/>
      <c r="G61" s="29"/>
      <c r="H61" s="35"/>
      <c r="I61" s="901"/>
      <c r="J61" s="29"/>
      <c r="K61" s="29"/>
      <c r="L61" s="29"/>
      <c r="M61" s="29"/>
      <c r="N61" s="29"/>
      <c r="O61" s="29"/>
      <c r="P61" s="29"/>
      <c r="Q61" s="421"/>
      <c r="S61" s="29"/>
      <c r="T61" s="237"/>
      <c r="U61" s="225"/>
    </row>
    <row r="62" spans="1:21" ht="22.8">
      <c r="A62" s="768" t="s">
        <v>440</v>
      </c>
      <c r="B62" s="29"/>
      <c r="C62" s="38" t="s">
        <v>114</v>
      </c>
      <c r="D62" s="29"/>
      <c r="E62" s="29"/>
      <c r="F62" s="29"/>
      <c r="G62" s="29"/>
      <c r="H62" s="35"/>
      <c r="I62" s="1466">
        <f>sysdata!H100*containers!I58</f>
        <v>3.2</v>
      </c>
      <c r="J62" s="29"/>
      <c r="K62" s="29"/>
      <c r="L62" s="29"/>
      <c r="M62" s="29"/>
      <c r="N62" s="29"/>
      <c r="O62" s="29"/>
      <c r="P62" s="29"/>
      <c r="Q62" s="421"/>
      <c r="R62" s="29"/>
      <c r="S62" s="29"/>
      <c r="T62" s="237"/>
      <c r="U62" s="225"/>
    </row>
    <row r="63" spans="1:21" ht="22.8">
      <c r="A63" s="46"/>
      <c r="B63" s="29"/>
      <c r="C63" s="29"/>
      <c r="D63" s="29"/>
      <c r="E63" s="29"/>
      <c r="F63" s="29"/>
      <c r="G63" s="29"/>
      <c r="H63" s="35"/>
      <c r="I63" s="901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37"/>
      <c r="U63" s="225"/>
    </row>
    <row r="64" spans="1:21" ht="22.8">
      <c r="A64" s="266" t="s">
        <v>442</v>
      </c>
      <c r="B64" s="29"/>
      <c r="C64" s="38" t="s">
        <v>49</v>
      </c>
      <c r="D64" s="29"/>
      <c r="E64" s="29"/>
      <c r="F64" s="29"/>
      <c r="G64" s="29"/>
      <c r="H64" s="35"/>
      <c r="I64" s="906">
        <f>+I60*(I42+I46)</f>
        <v>44.800000000000004</v>
      </c>
      <c r="J64" s="167"/>
      <c r="K64" s="29"/>
      <c r="L64" s="29"/>
      <c r="M64" s="29"/>
      <c r="N64" s="29"/>
      <c r="O64" s="29"/>
      <c r="P64" s="29"/>
      <c r="Q64" s="29"/>
      <c r="R64" s="29"/>
      <c r="S64" s="29"/>
      <c r="T64" s="237"/>
      <c r="U64" s="401"/>
    </row>
    <row r="65" spans="1:21" ht="22.8">
      <c r="A65" s="46"/>
      <c r="B65" s="29"/>
      <c r="C65" s="29"/>
      <c r="D65" s="29"/>
      <c r="E65" s="29"/>
      <c r="F65" s="29"/>
      <c r="G65" s="29"/>
      <c r="H65" s="35"/>
      <c r="I65" s="901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37"/>
      <c r="U65" s="398"/>
    </row>
    <row r="66" spans="1:21" ht="22.8">
      <c r="A66" s="768" t="s">
        <v>834</v>
      </c>
      <c r="B66" s="29"/>
      <c r="C66" s="87" t="s">
        <v>50</v>
      </c>
      <c r="D66" s="29"/>
      <c r="E66" s="29"/>
      <c r="F66" s="29"/>
      <c r="G66" s="29"/>
      <c r="H66" s="35"/>
      <c r="I66" s="901">
        <f>+I62*(I44+I46)</f>
        <v>26.24</v>
      </c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37"/>
      <c r="U66" s="399"/>
    </row>
    <row r="67" spans="1:21" ht="22.8">
      <c r="A67" s="46"/>
      <c r="B67" s="29"/>
      <c r="C67" s="29"/>
      <c r="D67" s="29"/>
      <c r="E67" s="29"/>
      <c r="F67" s="29"/>
      <c r="G67" s="29"/>
      <c r="H67" s="35"/>
      <c r="I67" s="901"/>
      <c r="J67" s="29"/>
      <c r="K67" s="29"/>
      <c r="L67" s="1464"/>
      <c r="M67" s="29"/>
      <c r="N67" s="29"/>
      <c r="O67" s="29"/>
      <c r="P67" s="29"/>
      <c r="Q67" s="29"/>
      <c r="R67" s="29"/>
      <c r="S67" s="29"/>
      <c r="T67" s="237"/>
      <c r="U67" s="398"/>
    </row>
    <row r="68" spans="1:21" ht="22.8">
      <c r="A68" s="265" t="s">
        <v>445</v>
      </c>
      <c r="B68" s="38" t="s">
        <v>115</v>
      </c>
      <c r="C68" s="29"/>
      <c r="D68" s="29"/>
      <c r="E68" s="29"/>
      <c r="F68" s="45"/>
      <c r="G68" s="45"/>
      <c r="H68" s="35"/>
      <c r="I68" s="902"/>
      <c r="J68" s="29"/>
      <c r="K68" s="38"/>
      <c r="L68" s="29"/>
      <c r="M68" s="29"/>
      <c r="N68" s="29"/>
      <c r="O68" s="29"/>
      <c r="P68" s="29"/>
      <c r="Q68" s="29"/>
      <c r="R68" s="29"/>
      <c r="S68" s="29"/>
      <c r="T68" s="237"/>
      <c r="U68" s="400"/>
    </row>
    <row r="69" spans="1:21" ht="23.4" thickBot="1">
      <c r="A69" s="266"/>
      <c r="B69" s="38"/>
      <c r="C69" s="29"/>
      <c r="D69" s="29"/>
      <c r="E69" s="29"/>
      <c r="F69" s="45"/>
      <c r="G69" s="45"/>
      <c r="H69" s="35"/>
      <c r="I69" s="902"/>
      <c r="J69" s="29"/>
      <c r="K69" s="38"/>
      <c r="L69" s="29"/>
      <c r="M69" s="29"/>
      <c r="N69" s="29"/>
      <c r="O69" s="29"/>
      <c r="P69" s="29"/>
      <c r="Q69" s="29"/>
      <c r="R69" s="29"/>
      <c r="S69" s="29"/>
      <c r="T69" s="237"/>
      <c r="U69" s="401"/>
    </row>
    <row r="70" spans="1:21" ht="24" thickTop="1" thickBot="1">
      <c r="A70" s="266" t="s">
        <v>515</v>
      </c>
      <c r="B70" s="38"/>
      <c r="C70" s="38" t="s">
        <v>366</v>
      </c>
      <c r="D70" s="29"/>
      <c r="E70" s="29"/>
      <c r="F70" s="45"/>
      <c r="G70" s="45"/>
      <c r="H70" s="35"/>
      <c r="I70" s="904" t="s">
        <v>573</v>
      </c>
      <c r="J70" s="46"/>
      <c r="K70" s="38"/>
      <c r="L70" s="29"/>
      <c r="M70" s="29"/>
      <c r="N70" s="29"/>
      <c r="O70" s="29"/>
      <c r="P70" s="29"/>
      <c r="Q70" s="29"/>
      <c r="R70" s="29"/>
      <c r="S70" s="29"/>
      <c r="T70" s="237"/>
      <c r="U70" s="401"/>
    </row>
    <row r="71" spans="1:21" ht="24" thickTop="1" thickBot="1">
      <c r="A71" s="46"/>
      <c r="B71" s="29"/>
      <c r="C71" s="29"/>
      <c r="D71" s="29"/>
      <c r="E71" s="29"/>
      <c r="F71" s="29"/>
      <c r="G71" s="29"/>
      <c r="H71" s="35"/>
      <c r="I71" s="905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37"/>
      <c r="U71" s="398"/>
    </row>
    <row r="72" spans="1:21" ht="24" thickTop="1" thickBot="1">
      <c r="A72" s="266" t="s">
        <v>516</v>
      </c>
      <c r="B72" s="29"/>
      <c r="C72" s="38" t="s">
        <v>418</v>
      </c>
      <c r="D72" s="29"/>
      <c r="E72" s="29"/>
      <c r="F72" s="29"/>
      <c r="G72" s="35" t="s">
        <v>419</v>
      </c>
      <c r="H72" s="35"/>
      <c r="I72" s="904">
        <v>40</v>
      </c>
      <c r="J72" s="46"/>
      <c r="K72" s="29"/>
      <c r="L72" s="29"/>
      <c r="M72" s="29"/>
      <c r="N72" s="29"/>
      <c r="O72" s="29"/>
      <c r="P72" s="29"/>
      <c r="Q72" s="29"/>
      <c r="R72" s="29"/>
      <c r="S72" s="29"/>
      <c r="T72" s="237"/>
      <c r="U72" s="401"/>
    </row>
    <row r="73" spans="1:21" ht="23.4" thickTop="1">
      <c r="A73" s="46"/>
      <c r="B73" s="29"/>
      <c r="C73" s="29"/>
      <c r="D73" s="29"/>
      <c r="E73" s="29"/>
      <c r="F73" s="29"/>
      <c r="G73" s="29"/>
      <c r="H73" s="35"/>
      <c r="I73" s="905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37"/>
      <c r="U73" s="398"/>
    </row>
    <row r="74" spans="1:21" ht="22.8">
      <c r="A74" s="265" t="s">
        <v>446</v>
      </c>
      <c r="B74" s="38" t="s">
        <v>47</v>
      </c>
      <c r="C74" s="29"/>
      <c r="D74" s="29"/>
      <c r="E74" s="29"/>
      <c r="F74" s="29"/>
      <c r="G74" s="29"/>
      <c r="H74" s="35"/>
      <c r="I74" s="907">
        <f>sysdata!D100+containers!I64</f>
        <v>66.800000000000011</v>
      </c>
      <c r="J74" s="91"/>
      <c r="K74" s="35"/>
      <c r="L74" s="29"/>
      <c r="M74" s="29"/>
      <c r="N74" s="29"/>
      <c r="O74" s="29"/>
      <c r="P74" s="29"/>
      <c r="Q74" s="29"/>
      <c r="R74" s="29"/>
      <c r="S74" s="29"/>
      <c r="T74" s="237"/>
      <c r="U74" s="400"/>
    </row>
    <row r="75" spans="1:21" ht="22.8">
      <c r="A75" s="46"/>
      <c r="B75" s="29"/>
      <c r="C75" s="29"/>
      <c r="D75" s="29"/>
      <c r="E75" s="29"/>
      <c r="F75" s="29"/>
      <c r="G75" s="29"/>
      <c r="H75" s="35"/>
      <c r="I75" s="908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37"/>
      <c r="U75" s="398"/>
    </row>
    <row r="76" spans="1:21" ht="22.8">
      <c r="A76" s="264" t="s">
        <v>447</v>
      </c>
      <c r="B76" s="87" t="s">
        <v>48</v>
      </c>
      <c r="C76" s="29"/>
      <c r="D76" s="29"/>
      <c r="E76" s="29"/>
      <c r="F76" s="29"/>
      <c r="G76" s="29"/>
      <c r="H76" s="35"/>
      <c r="I76" s="907">
        <f>sysdata!D100+containers!I66</f>
        <v>48.239999999999995</v>
      </c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37"/>
      <c r="U76" s="399"/>
    </row>
    <row r="77" spans="1:21" ht="22.8">
      <c r="A77" s="46"/>
      <c r="B77" s="29"/>
      <c r="C77" s="29"/>
      <c r="D77" s="29"/>
      <c r="E77" s="29"/>
      <c r="F77" s="29"/>
      <c r="G77" s="29"/>
      <c r="H77" s="35"/>
      <c r="I77" s="901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37"/>
      <c r="U77" s="398"/>
    </row>
    <row r="78" spans="1:21" ht="22.8">
      <c r="A78" s="265" t="s">
        <v>448</v>
      </c>
      <c r="B78" s="38" t="s">
        <v>41</v>
      </c>
      <c r="C78" s="29"/>
      <c r="D78" s="29"/>
      <c r="E78" s="29"/>
      <c r="F78" s="29"/>
      <c r="G78" s="29"/>
      <c r="H78" s="35"/>
      <c r="I78" s="902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37"/>
      <c r="U78" s="400"/>
    </row>
    <row r="79" spans="1:21" ht="23.4" thickBot="1">
      <c r="A79" s="46"/>
      <c r="B79" s="29"/>
      <c r="C79" s="29"/>
      <c r="D79" s="29"/>
      <c r="E79" s="29"/>
      <c r="F79" s="29"/>
      <c r="G79" s="29"/>
      <c r="H79" s="35"/>
      <c r="I79" s="902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37"/>
      <c r="U79" s="398"/>
    </row>
    <row r="80" spans="1:21" ht="24" thickTop="1" thickBot="1">
      <c r="A80" s="265" t="s">
        <v>51</v>
      </c>
      <c r="B80" s="29"/>
      <c r="C80" s="38" t="s">
        <v>46</v>
      </c>
      <c r="D80" s="29"/>
      <c r="E80" s="29"/>
      <c r="F80" s="29"/>
      <c r="G80" s="29"/>
      <c r="H80" s="35"/>
      <c r="I80" s="909" t="s">
        <v>677</v>
      </c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37"/>
      <c r="U80" s="400"/>
    </row>
    <row r="81" spans="1:21" ht="24" thickTop="1" thickBot="1">
      <c r="A81" s="46"/>
      <c r="B81" s="29"/>
      <c r="C81" s="29"/>
      <c r="D81" s="29"/>
      <c r="E81" s="29"/>
      <c r="F81" s="29"/>
      <c r="G81" s="29"/>
      <c r="H81" s="35"/>
      <c r="I81" s="905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37"/>
      <c r="U81" s="398"/>
    </row>
    <row r="82" spans="1:21" ht="24" thickTop="1" thickBot="1">
      <c r="A82" s="265" t="s">
        <v>52</v>
      </c>
      <c r="B82" s="29"/>
      <c r="C82" s="29" t="s">
        <v>893</v>
      </c>
      <c r="D82" s="29"/>
      <c r="E82" s="29"/>
      <c r="F82" s="29"/>
      <c r="G82" s="29"/>
      <c r="H82" s="35"/>
      <c r="I82" s="909" t="s">
        <v>894</v>
      </c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37"/>
      <c r="U82" s="398"/>
    </row>
    <row r="83" spans="1:21" ht="24" thickTop="1" thickBot="1">
      <c r="A83" s="46"/>
      <c r="B83" s="29"/>
      <c r="C83" s="29"/>
      <c r="D83" s="29"/>
      <c r="E83" s="29"/>
      <c r="F83" s="29"/>
      <c r="G83" s="29"/>
      <c r="H83" s="35"/>
      <c r="I83" s="905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37"/>
      <c r="U83" s="398"/>
    </row>
    <row r="84" spans="1:21" ht="24" thickTop="1" thickBot="1">
      <c r="A84" s="265" t="s">
        <v>895</v>
      </c>
      <c r="B84" s="29"/>
      <c r="C84" s="38" t="s">
        <v>418</v>
      </c>
      <c r="D84" s="29"/>
      <c r="E84" s="29"/>
      <c r="F84" s="29"/>
      <c r="G84" s="29"/>
      <c r="H84" s="35"/>
      <c r="I84" s="889">
        <v>2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37"/>
      <c r="U84" s="400"/>
    </row>
    <row r="85" spans="1:21" ht="24" thickTop="1" thickBot="1">
      <c r="A85" s="46"/>
      <c r="B85" s="29"/>
      <c r="C85" s="29"/>
      <c r="D85" s="29"/>
      <c r="E85" s="29"/>
      <c r="F85" s="29"/>
      <c r="G85" s="29"/>
      <c r="H85" s="35"/>
      <c r="I85" s="905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37"/>
      <c r="U85" s="398"/>
    </row>
    <row r="86" spans="1:21" ht="23.4" thickTop="1">
      <c r="A86" s="265" t="s">
        <v>449</v>
      </c>
      <c r="B86" s="38" t="s">
        <v>425</v>
      </c>
      <c r="C86" s="29"/>
      <c r="D86" s="29"/>
      <c r="E86" s="29"/>
      <c r="F86" s="29"/>
      <c r="G86" s="29"/>
      <c r="H86" s="35"/>
      <c r="I86" s="904">
        <f>sysdata!E66</f>
        <v>150</v>
      </c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37"/>
      <c r="U86" s="400"/>
    </row>
    <row r="87" spans="1:21" ht="23.4" thickBot="1">
      <c r="A87" s="39"/>
      <c r="B87" s="35"/>
      <c r="C87" s="29"/>
      <c r="D87" s="29"/>
      <c r="E87" s="29"/>
      <c r="F87" s="29"/>
      <c r="G87" s="29"/>
      <c r="H87" s="35"/>
      <c r="I87" s="903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37"/>
      <c r="U87" s="404"/>
    </row>
    <row r="88" spans="1:21" ht="24" thickTop="1" thickBot="1">
      <c r="A88" s="265" t="s">
        <v>450</v>
      </c>
      <c r="B88" s="38" t="s">
        <v>427</v>
      </c>
      <c r="C88" s="29"/>
      <c r="D88" s="29"/>
      <c r="E88" s="29"/>
      <c r="F88" s="29"/>
      <c r="G88" s="29"/>
      <c r="H88" s="35"/>
      <c r="I88" s="904" t="s">
        <v>414</v>
      </c>
      <c r="J88" s="46"/>
      <c r="K88" s="29"/>
      <c r="L88" s="29"/>
      <c r="M88" s="29"/>
      <c r="N88" s="29"/>
      <c r="O88" s="29"/>
      <c r="P88" s="29"/>
      <c r="Q88" s="29"/>
      <c r="R88" s="29"/>
      <c r="S88" s="29"/>
      <c r="T88" s="237"/>
      <c r="U88" s="400"/>
    </row>
    <row r="89" spans="1:21" ht="23.4" thickTop="1">
      <c r="A89" s="46"/>
      <c r="B89" s="29"/>
      <c r="C89" s="29"/>
      <c r="D89" s="29"/>
      <c r="E89" s="29"/>
      <c r="F89" s="29"/>
      <c r="G89" s="29"/>
      <c r="H89" s="35"/>
      <c r="I89" s="905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37"/>
      <c r="U89" s="398"/>
    </row>
    <row r="90" spans="1:21" ht="22.8">
      <c r="A90" s="265" t="s">
        <v>57</v>
      </c>
      <c r="B90" s="29"/>
      <c r="C90" s="38" t="s">
        <v>428</v>
      </c>
      <c r="D90" s="29"/>
      <c r="E90" s="29"/>
      <c r="F90" s="29"/>
      <c r="G90" s="29"/>
      <c r="H90" s="35"/>
      <c r="I90" s="910">
        <f>IF(I88="YES",40,0)</f>
        <v>0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37"/>
      <c r="U90" s="400"/>
    </row>
    <row r="91" spans="1:21" ht="22.8">
      <c r="A91" s="46"/>
      <c r="B91" s="29"/>
      <c r="C91" s="29"/>
      <c r="D91" s="29"/>
      <c r="E91" s="29"/>
      <c r="F91" s="29"/>
      <c r="G91" s="29"/>
      <c r="H91" s="35"/>
      <c r="I91" s="903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37"/>
      <c r="U91" s="398"/>
    </row>
    <row r="92" spans="1:21" ht="22.8">
      <c r="A92" s="264" t="s">
        <v>451</v>
      </c>
      <c r="B92" s="87" t="s">
        <v>53</v>
      </c>
      <c r="C92" s="29"/>
      <c r="D92" s="29"/>
      <c r="E92" s="29"/>
      <c r="F92" s="29"/>
      <c r="G92" s="29"/>
      <c r="H92" s="35"/>
      <c r="I92" s="929">
        <f>+(I72*I74)+I90</f>
        <v>2672.0000000000005</v>
      </c>
      <c r="J92" s="29"/>
      <c r="K92" s="29"/>
      <c r="L92" s="29"/>
      <c r="M92" s="35"/>
      <c r="N92" s="29"/>
      <c r="O92" s="29"/>
      <c r="P92" s="29"/>
      <c r="Q92" s="29"/>
      <c r="R92" s="29"/>
      <c r="S92" s="29"/>
      <c r="T92" s="237"/>
      <c r="U92" s="399"/>
    </row>
    <row r="93" spans="1:21" ht="22.8">
      <c r="A93" s="46"/>
      <c r="B93" s="29"/>
      <c r="C93" s="29"/>
      <c r="D93" s="29"/>
      <c r="E93" s="29"/>
      <c r="F93" s="29"/>
      <c r="G93" s="29"/>
      <c r="H93" s="35"/>
      <c r="I93" s="901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37"/>
      <c r="U93" s="398"/>
    </row>
    <row r="94" spans="1:21" ht="22.8">
      <c r="A94" s="264" t="s">
        <v>452</v>
      </c>
      <c r="B94" s="87" t="s">
        <v>54</v>
      </c>
      <c r="C94" s="29"/>
      <c r="D94" s="29"/>
      <c r="E94" s="29"/>
      <c r="F94" s="29"/>
      <c r="G94" s="29"/>
      <c r="H94" s="35"/>
      <c r="I94" s="929">
        <f>+(I72*I76)+I90</f>
        <v>1929.6</v>
      </c>
      <c r="J94" s="35"/>
      <c r="K94" s="29"/>
      <c r="L94" s="29"/>
      <c r="M94" s="29"/>
      <c r="N94" s="29"/>
      <c r="O94" s="29"/>
      <c r="P94" s="29"/>
      <c r="Q94" s="29"/>
      <c r="R94" s="29"/>
      <c r="S94" s="29"/>
      <c r="T94" s="237"/>
      <c r="U94" s="399"/>
    </row>
    <row r="95" spans="1:21" ht="22.8">
      <c r="A95" s="46"/>
      <c r="B95" s="29"/>
      <c r="C95" s="29"/>
      <c r="D95" s="29"/>
      <c r="E95" s="29"/>
      <c r="F95" s="29"/>
      <c r="G95" s="29"/>
      <c r="H95" s="35"/>
      <c r="I95" s="9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37"/>
      <c r="U95" s="398"/>
    </row>
    <row r="96" spans="1:21" ht="22.8">
      <c r="A96" s="264" t="s">
        <v>453</v>
      </c>
      <c r="B96" s="87" t="s">
        <v>55</v>
      </c>
      <c r="C96" s="29"/>
      <c r="D96" s="29"/>
      <c r="E96" s="29"/>
      <c r="F96" s="29"/>
      <c r="G96" s="29"/>
      <c r="H96" s="35"/>
      <c r="I96" s="929">
        <f>+I92+(I84*I86)</f>
        <v>2972.0000000000005</v>
      </c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37"/>
      <c r="U96" s="399"/>
    </row>
    <row r="97" spans="1:21" ht="22.8">
      <c r="A97" s="264"/>
      <c r="B97" s="87"/>
      <c r="C97" s="29"/>
      <c r="D97" s="29"/>
      <c r="E97" s="29"/>
      <c r="F97" s="29"/>
      <c r="G97" s="29"/>
      <c r="H97" s="35"/>
      <c r="I97" s="901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37"/>
      <c r="U97" s="399"/>
    </row>
    <row r="98" spans="1:21" ht="22.8">
      <c r="A98" s="264" t="s">
        <v>454</v>
      </c>
      <c r="B98" s="87" t="s">
        <v>56</v>
      </c>
      <c r="C98" s="29"/>
      <c r="D98" s="29"/>
      <c r="E98" s="29"/>
      <c r="F98" s="29"/>
      <c r="G98" s="29"/>
      <c r="H98" s="35"/>
      <c r="I98" s="929">
        <f>+I94+(I84*I86)</f>
        <v>2229.6</v>
      </c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37"/>
      <c r="U98" s="399"/>
    </row>
    <row r="99" spans="1:21" ht="22.8">
      <c r="A99" s="264"/>
      <c r="B99" s="87"/>
      <c r="C99" s="29"/>
      <c r="D99" s="29"/>
      <c r="E99" s="29"/>
      <c r="F99" s="29"/>
      <c r="G99" s="29"/>
      <c r="H99" s="35"/>
      <c r="I99" s="901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37"/>
      <c r="U99" s="399"/>
    </row>
    <row r="100" spans="1:21" ht="22.8">
      <c r="A100" s="265" t="s">
        <v>456</v>
      </c>
      <c r="B100" s="38" t="s">
        <v>430</v>
      </c>
      <c r="C100" s="29"/>
      <c r="D100" s="29"/>
      <c r="E100" s="29"/>
      <c r="F100" s="29"/>
      <c r="G100" s="29"/>
      <c r="H100" s="35"/>
      <c r="I100" s="902"/>
      <c r="J100" s="35"/>
      <c r="K100" s="29"/>
      <c r="L100" s="29"/>
      <c r="M100" s="29"/>
      <c r="N100" s="29"/>
      <c r="O100" s="29"/>
      <c r="P100" s="29"/>
      <c r="Q100" s="29"/>
      <c r="R100" s="29"/>
      <c r="S100" s="29"/>
      <c r="T100" s="237"/>
      <c r="U100" s="400"/>
    </row>
    <row r="101" spans="1:21" ht="22.8">
      <c r="A101" s="46"/>
      <c r="B101" s="29"/>
      <c r="C101" s="29"/>
      <c r="D101" s="29"/>
      <c r="E101" s="29"/>
      <c r="F101" s="29"/>
      <c r="G101" s="29"/>
      <c r="H101" s="35"/>
      <c r="I101" s="903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37"/>
      <c r="U101" s="398"/>
    </row>
    <row r="102" spans="1:21" ht="22.8">
      <c r="A102" s="265" t="s">
        <v>58</v>
      </c>
      <c r="B102" s="29"/>
      <c r="C102" s="38" t="s">
        <v>111</v>
      </c>
      <c r="D102" s="29"/>
      <c r="E102" s="29"/>
      <c r="F102" s="29"/>
      <c r="G102" s="29"/>
      <c r="H102" s="35"/>
      <c r="I102" s="892">
        <f>I60*I72</f>
        <v>128</v>
      </c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37"/>
      <c r="U102" s="400"/>
    </row>
    <row r="103" spans="1:21" ht="22.8">
      <c r="A103" s="265"/>
      <c r="B103" s="29"/>
      <c r="C103" s="38"/>
      <c r="D103" s="29"/>
      <c r="E103" s="29"/>
      <c r="F103" s="29"/>
      <c r="G103" s="29"/>
      <c r="H103" s="35"/>
      <c r="I103" s="892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37"/>
      <c r="U103" s="400"/>
    </row>
    <row r="104" spans="1:21" ht="22.8">
      <c r="A104" s="265" t="s">
        <v>59</v>
      </c>
      <c r="B104" s="29"/>
      <c r="C104" s="38" t="s">
        <v>112</v>
      </c>
      <c r="D104" s="29"/>
      <c r="E104" s="29"/>
      <c r="F104" s="29"/>
      <c r="G104" s="29"/>
      <c r="H104" s="35"/>
      <c r="I104" s="892">
        <f>+I62*I72</f>
        <v>128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37"/>
      <c r="U104" s="400"/>
    </row>
    <row r="105" spans="1:21" ht="22.8">
      <c r="A105" s="265"/>
      <c r="B105" s="29"/>
      <c r="C105" s="38"/>
      <c r="D105" s="29"/>
      <c r="E105" s="29"/>
      <c r="F105" s="29"/>
      <c r="G105" s="29"/>
      <c r="H105" s="35"/>
      <c r="I105" s="892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37"/>
      <c r="U105" s="400"/>
    </row>
    <row r="106" spans="1:21" ht="22.8">
      <c r="A106" s="265" t="s">
        <v>116</v>
      </c>
      <c r="B106" s="29"/>
      <c r="C106" s="38" t="s">
        <v>121</v>
      </c>
      <c r="D106" s="29"/>
      <c r="E106" s="29"/>
      <c r="F106" s="29"/>
      <c r="G106" s="29"/>
      <c r="H106" s="35"/>
      <c r="I106" s="892">
        <f>(0.5*I102)+(0.5*I104)</f>
        <v>128</v>
      </c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37"/>
      <c r="U106" s="400"/>
    </row>
    <row r="107" spans="1:21" ht="22.8">
      <c r="A107" s="265"/>
      <c r="B107" s="29"/>
      <c r="C107" s="38"/>
      <c r="D107" s="29"/>
      <c r="E107" s="29"/>
      <c r="F107" s="29"/>
      <c r="G107" s="29"/>
      <c r="H107" s="35"/>
      <c r="I107" s="892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37"/>
      <c r="U107" s="400"/>
    </row>
    <row r="108" spans="1:21" ht="22.8">
      <c r="A108" s="265" t="s">
        <v>116</v>
      </c>
      <c r="B108" s="29"/>
      <c r="C108" s="38" t="s">
        <v>117</v>
      </c>
      <c r="D108" s="29"/>
      <c r="E108" s="29"/>
      <c r="F108" s="29"/>
      <c r="G108" s="29"/>
      <c r="H108" s="35"/>
      <c r="I108" s="892">
        <f>+I72*I64</f>
        <v>1792.0000000000002</v>
      </c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37"/>
      <c r="U108" s="400"/>
    </row>
    <row r="109" spans="1:21" ht="22.8">
      <c r="A109" s="46"/>
      <c r="B109" s="29"/>
      <c r="C109" s="29"/>
      <c r="D109" s="29"/>
      <c r="E109" s="29"/>
      <c r="F109" s="29"/>
      <c r="G109" s="29"/>
      <c r="H109" s="35"/>
      <c r="I109" s="892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37"/>
      <c r="U109" s="398"/>
    </row>
    <row r="110" spans="1:21" ht="22.8">
      <c r="A110" s="265" t="s">
        <v>119</v>
      </c>
      <c r="B110" s="29"/>
      <c r="C110" s="38" t="s">
        <v>118</v>
      </c>
      <c r="D110" s="29"/>
      <c r="E110" s="29"/>
      <c r="F110" s="29"/>
      <c r="G110" s="29"/>
      <c r="H110" s="35"/>
      <c r="I110" s="892">
        <f>I66*I72*I32</f>
        <v>524.79999999999995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37"/>
      <c r="U110" s="400"/>
    </row>
    <row r="111" spans="1:21" ht="22.8">
      <c r="A111" s="46"/>
      <c r="B111" s="29"/>
      <c r="C111" s="29"/>
      <c r="D111" s="29"/>
      <c r="E111" s="29"/>
      <c r="F111" s="29"/>
      <c r="G111" s="29"/>
      <c r="H111" s="35"/>
      <c r="I111" s="892"/>
      <c r="J111" s="29"/>
      <c r="K111" s="29" t="s">
        <v>7</v>
      </c>
      <c r="L111" s="29"/>
      <c r="M111" s="29"/>
      <c r="N111" s="29"/>
      <c r="O111" s="29"/>
      <c r="P111" s="29"/>
      <c r="Q111" s="29"/>
      <c r="R111" s="29"/>
      <c r="S111" s="29"/>
      <c r="T111" s="237"/>
      <c r="U111" s="398"/>
    </row>
    <row r="112" spans="1:21" ht="22.8">
      <c r="A112" s="265" t="s">
        <v>120</v>
      </c>
      <c r="B112" s="29"/>
      <c r="C112" s="87" t="s">
        <v>122</v>
      </c>
      <c r="D112" s="29"/>
      <c r="E112" s="29"/>
      <c r="F112" s="29"/>
      <c r="G112" s="29"/>
      <c r="H112" s="35"/>
      <c r="I112" s="892">
        <f>+(0.5*I108)+(0.5*I110)</f>
        <v>1158.4000000000001</v>
      </c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37"/>
      <c r="U112" s="400"/>
    </row>
    <row r="113" spans="1:21" ht="22.8">
      <c r="A113" s="46"/>
      <c r="B113" s="29"/>
      <c r="C113" s="29"/>
      <c r="D113" s="29"/>
      <c r="E113" s="29"/>
      <c r="F113" s="29"/>
      <c r="G113" s="29"/>
      <c r="H113" s="35"/>
      <c r="I113" s="892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37"/>
      <c r="U113" s="398"/>
    </row>
    <row r="114" spans="1:21" ht="22.8">
      <c r="A114" s="265" t="s">
        <v>457</v>
      </c>
      <c r="B114" s="38" t="s">
        <v>434</v>
      </c>
      <c r="C114" s="29"/>
      <c r="D114" s="29"/>
      <c r="E114" s="29"/>
      <c r="F114" s="29"/>
      <c r="G114" s="29"/>
      <c r="H114" s="35"/>
      <c r="I114" s="892">
        <f>IF(I30&gt;1,(I36/I102)*2,I36/I102)</f>
        <v>3150.6696428571427</v>
      </c>
      <c r="J114" s="29"/>
      <c r="K114" s="29">
        <f>IF(I114&gt;INT(I114)+0.2,ROUNDUP(I114,0),ROUNDDOWN(I114,0))</f>
        <v>3151</v>
      </c>
      <c r="L114" s="29"/>
      <c r="M114" s="29"/>
      <c r="N114" s="29"/>
      <c r="O114" s="29"/>
      <c r="P114" s="29"/>
      <c r="Q114" s="29"/>
      <c r="R114" s="29"/>
      <c r="S114" s="29"/>
      <c r="T114" s="237"/>
      <c r="U114" s="400"/>
    </row>
    <row r="115" spans="1:21" ht="23.4" thickBot="1">
      <c r="A115" s="265"/>
      <c r="B115" s="38"/>
      <c r="C115" s="29"/>
      <c r="D115" s="29"/>
      <c r="E115" s="29"/>
      <c r="F115" s="29"/>
      <c r="G115" s="29"/>
      <c r="H115" s="35"/>
      <c r="I115" s="892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37"/>
      <c r="U115" s="400"/>
    </row>
    <row r="116" spans="1:21" ht="23.4" thickTop="1">
      <c r="A116" s="265" t="s">
        <v>458</v>
      </c>
      <c r="B116" s="38" t="s">
        <v>87</v>
      </c>
      <c r="C116" s="29"/>
      <c r="D116" s="29"/>
      <c r="E116" s="29"/>
      <c r="F116" s="29"/>
      <c r="G116" s="29"/>
      <c r="H116" s="35"/>
      <c r="I116" s="889">
        <f>sysdata!D32+sysdata!D34+sysdata!D35</f>
        <v>4320</v>
      </c>
      <c r="J116" s="29"/>
      <c r="K116" s="29">
        <f>IF(I116&gt;INT(I116)+0.2,ROUNDUP(I116,0),ROUNDDOWN(I116,0))</f>
        <v>4320</v>
      </c>
      <c r="L116" s="29"/>
      <c r="M116" s="29"/>
      <c r="N116" s="29"/>
      <c r="O116" s="29"/>
      <c r="P116" s="29"/>
      <c r="Q116" s="29"/>
      <c r="R116" s="29"/>
      <c r="S116" s="29"/>
      <c r="T116" s="237"/>
      <c r="U116" s="400"/>
    </row>
    <row r="117" spans="1:21" ht="22.8">
      <c r="A117" s="265"/>
      <c r="B117" s="38"/>
      <c r="C117" s="29"/>
      <c r="D117" s="29"/>
      <c r="E117" s="29"/>
      <c r="F117" s="29"/>
      <c r="G117" s="29"/>
      <c r="H117" s="35"/>
      <c r="I117" s="903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37"/>
      <c r="U117" s="400"/>
    </row>
    <row r="118" spans="1:21" ht="23.4" thickBot="1">
      <c r="A118" s="265" t="s">
        <v>461</v>
      </c>
      <c r="B118" s="38" t="s">
        <v>88</v>
      </c>
      <c r="C118" s="29"/>
      <c r="D118" s="29"/>
      <c r="E118" s="29"/>
      <c r="F118" s="29"/>
      <c r="G118" s="29"/>
      <c r="H118" s="35"/>
      <c r="I118" s="892">
        <f>+I114+I116</f>
        <v>7470.6696428571431</v>
      </c>
      <c r="J118" s="29"/>
      <c r="K118" s="29">
        <f>IF(I118&gt;INT(I118)+0.2,ROUNDUP(I118,0),ROUNDDOWN(I118,0))</f>
        <v>7471</v>
      </c>
      <c r="L118" s="29"/>
      <c r="M118" s="29"/>
      <c r="N118" s="29"/>
      <c r="O118" s="29"/>
      <c r="P118" s="29"/>
      <c r="Q118" s="29"/>
      <c r="R118" s="29"/>
      <c r="S118" s="29"/>
      <c r="T118" s="237"/>
      <c r="U118" s="400"/>
    </row>
    <row r="119" spans="1:21" ht="25.5" customHeight="1" thickTop="1">
      <c r="A119" s="278" t="s">
        <v>156</v>
      </c>
      <c r="B119" s="279"/>
      <c r="C119" s="279"/>
      <c r="D119" s="279"/>
      <c r="E119" s="279"/>
      <c r="F119" s="279"/>
      <c r="G119" s="279"/>
      <c r="H119" s="279"/>
      <c r="I119" s="911"/>
      <c r="J119" s="281"/>
      <c r="K119" s="282"/>
      <c r="L119" s="282"/>
      <c r="M119" s="282"/>
      <c r="N119" s="282"/>
      <c r="O119" s="282"/>
      <c r="P119" s="282"/>
      <c r="Q119" s="282"/>
      <c r="R119" s="282"/>
      <c r="S119" s="282"/>
      <c r="T119" s="283"/>
      <c r="U119" s="387"/>
    </row>
    <row r="120" spans="1:21" ht="22.8">
      <c r="A120" s="265"/>
      <c r="B120" s="38"/>
      <c r="C120" s="29"/>
      <c r="D120" s="29"/>
      <c r="E120" s="29"/>
      <c r="F120" s="29"/>
      <c r="G120" s="29"/>
      <c r="H120" s="35"/>
      <c r="I120" s="903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37"/>
      <c r="U120" s="400"/>
    </row>
    <row r="121" spans="1:21" ht="22.8">
      <c r="A121" s="263" t="s">
        <v>406</v>
      </c>
      <c r="B121" s="34" t="s">
        <v>157</v>
      </c>
      <c r="C121" s="29"/>
      <c r="D121" s="29"/>
      <c r="E121" s="29"/>
      <c r="F121" s="29"/>
      <c r="G121" s="29"/>
      <c r="H121" s="35"/>
      <c r="I121" s="903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37"/>
      <c r="U121" s="397"/>
    </row>
    <row r="122" spans="1:21" ht="22.8">
      <c r="A122" s="266"/>
      <c r="B122" s="38"/>
      <c r="C122" s="29"/>
      <c r="D122" s="29"/>
      <c r="E122" s="29"/>
      <c r="F122" s="29"/>
      <c r="G122" s="29"/>
      <c r="H122" s="35"/>
      <c r="I122" s="903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37"/>
      <c r="U122" s="401"/>
    </row>
    <row r="123" spans="1:21" ht="22.8">
      <c r="A123" s="265" t="s">
        <v>463</v>
      </c>
      <c r="B123" s="161" t="s">
        <v>60</v>
      </c>
      <c r="C123" s="38"/>
      <c r="D123" s="38"/>
      <c r="E123" s="38"/>
      <c r="F123" s="29"/>
      <c r="G123" s="29"/>
      <c r="H123" s="35"/>
      <c r="I123" s="902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37"/>
      <c r="U123" s="400"/>
    </row>
    <row r="124" spans="1:21" ht="23.4" thickBot="1">
      <c r="A124" s="266"/>
      <c r="B124" s="38"/>
      <c r="C124" s="38"/>
      <c r="D124" s="38"/>
      <c r="E124" s="38"/>
      <c r="F124" s="29"/>
      <c r="G124" s="29"/>
      <c r="H124" s="35"/>
      <c r="I124" s="903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37"/>
      <c r="U124" s="401"/>
    </row>
    <row r="125" spans="1:21" ht="24" thickTop="1" thickBot="1">
      <c r="A125" s="265" t="s">
        <v>277</v>
      </c>
      <c r="B125" s="38"/>
      <c r="C125" s="38" t="s">
        <v>42</v>
      </c>
      <c r="D125" s="38"/>
      <c r="E125" s="38"/>
      <c r="F125" s="29"/>
      <c r="G125" s="29"/>
      <c r="H125" s="35"/>
      <c r="I125" s="912">
        <f>sysdata!K25</f>
        <v>60</v>
      </c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37"/>
      <c r="U125" s="400"/>
    </row>
    <row r="126" spans="1:21" ht="24" thickTop="1" thickBot="1">
      <c r="A126" s="265" t="s">
        <v>278</v>
      </c>
      <c r="B126" s="38"/>
      <c r="C126" s="38" t="s">
        <v>437</v>
      </c>
      <c r="D126" s="38"/>
      <c r="E126" s="38"/>
      <c r="F126" s="29"/>
      <c r="G126" s="29"/>
      <c r="H126" s="35"/>
      <c r="I126" s="913">
        <f>+I25/I125</f>
        <v>7.833333333333333</v>
      </c>
      <c r="J126" s="91"/>
      <c r="K126" s="29"/>
      <c r="L126" s="29"/>
      <c r="M126" s="29"/>
      <c r="N126" s="29"/>
      <c r="O126" s="29"/>
      <c r="P126" s="29"/>
      <c r="Q126" s="29"/>
      <c r="R126" s="29"/>
      <c r="S126" s="29"/>
      <c r="T126" s="237"/>
      <c r="U126" s="400"/>
    </row>
    <row r="127" spans="1:21" ht="24" thickTop="1" thickBot="1">
      <c r="A127" s="265" t="s">
        <v>279</v>
      </c>
      <c r="B127" s="35"/>
      <c r="C127" s="38" t="s">
        <v>439</v>
      </c>
      <c r="D127" s="29"/>
      <c r="E127" s="29"/>
      <c r="F127" s="29"/>
      <c r="G127" s="29"/>
      <c r="H127" s="35"/>
      <c r="I127" s="904">
        <v>8</v>
      </c>
      <c r="J127" s="46"/>
      <c r="K127" s="29"/>
      <c r="L127" s="29"/>
      <c r="M127" s="29"/>
      <c r="N127" s="29"/>
      <c r="O127" s="29"/>
      <c r="P127" s="29"/>
      <c r="Q127" s="29"/>
      <c r="R127" s="29"/>
      <c r="S127" s="29"/>
      <c r="T127" s="237"/>
      <c r="U127" s="400"/>
    </row>
    <row r="128" spans="1:21" ht="24" thickTop="1" thickBot="1">
      <c r="A128" s="265" t="s">
        <v>280</v>
      </c>
      <c r="B128" s="35"/>
      <c r="C128" s="38" t="s">
        <v>441</v>
      </c>
      <c r="D128" s="29"/>
      <c r="E128" s="29"/>
      <c r="F128" s="29"/>
      <c r="G128" s="29"/>
      <c r="H128" s="35"/>
      <c r="I128" s="904">
        <v>2</v>
      </c>
      <c r="J128" s="46"/>
      <c r="K128" s="29"/>
      <c r="L128" s="29"/>
      <c r="M128" s="29"/>
      <c r="N128" s="29"/>
      <c r="O128" s="29"/>
      <c r="P128" s="29"/>
      <c r="Q128" s="29"/>
      <c r="R128" s="29"/>
      <c r="S128" s="29"/>
      <c r="T128" s="237"/>
      <c r="U128" s="400"/>
    </row>
    <row r="129" spans="1:21" ht="24" thickTop="1" thickBot="1">
      <c r="A129" s="265" t="s">
        <v>281</v>
      </c>
      <c r="B129" s="35"/>
      <c r="C129" s="38" t="s">
        <v>443</v>
      </c>
      <c r="D129" s="29"/>
      <c r="E129" s="29"/>
      <c r="F129" s="29"/>
      <c r="G129" s="29"/>
      <c r="H129" s="35"/>
      <c r="I129" s="904">
        <v>6</v>
      </c>
      <c r="J129" s="46"/>
      <c r="K129" s="29"/>
      <c r="L129" s="29"/>
      <c r="M129" s="29"/>
      <c r="N129" s="29"/>
      <c r="O129" s="29"/>
      <c r="P129" s="29"/>
      <c r="Q129" s="29"/>
      <c r="R129" s="29"/>
      <c r="S129" s="29"/>
      <c r="T129" s="237"/>
      <c r="U129" s="400"/>
    </row>
    <row r="130" spans="1:21" ht="23.4" thickTop="1">
      <c r="A130" s="265" t="s">
        <v>282</v>
      </c>
      <c r="B130" s="35"/>
      <c r="C130" s="38"/>
      <c r="D130" s="38" t="s">
        <v>444</v>
      </c>
      <c r="E130" s="29"/>
      <c r="F130" s="29"/>
      <c r="G130" s="29"/>
      <c r="H130" s="35"/>
      <c r="I130" s="905">
        <f>(I126+I127+I128+I129)/24</f>
        <v>0.99305555555555547</v>
      </c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37"/>
      <c r="U130" s="400"/>
    </row>
    <row r="131" spans="1:21" ht="22.8">
      <c r="A131" s="46"/>
      <c r="B131" s="35"/>
      <c r="C131" s="38" t="s">
        <v>419</v>
      </c>
      <c r="D131" s="29"/>
      <c r="E131" s="29"/>
      <c r="F131" s="29"/>
      <c r="G131" s="29"/>
      <c r="H131" s="35"/>
      <c r="I131" s="903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37"/>
      <c r="U131" s="398"/>
    </row>
    <row r="132" spans="1:21" ht="22.8">
      <c r="A132" s="264" t="s">
        <v>464</v>
      </c>
      <c r="B132" s="205" t="s">
        <v>125</v>
      </c>
      <c r="C132" s="38"/>
      <c r="D132" s="29"/>
      <c r="E132" s="29"/>
      <c r="F132" s="29"/>
      <c r="G132" s="29"/>
      <c r="H132" s="35"/>
      <c r="I132" s="892">
        <f>+(K114*I126)</f>
        <v>24682.833333333332</v>
      </c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37"/>
      <c r="U132" s="399"/>
    </row>
    <row r="133" spans="1:21" ht="22.8">
      <c r="A133" s="46"/>
      <c r="B133" s="35"/>
      <c r="C133" s="38"/>
      <c r="D133" s="29"/>
      <c r="E133" s="29"/>
      <c r="F133" s="29"/>
      <c r="G133" s="29"/>
      <c r="H133" s="35"/>
      <c r="I133" s="903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37"/>
      <c r="U133" s="398"/>
    </row>
    <row r="134" spans="1:21" ht="22.8">
      <c r="A134" s="265" t="s">
        <v>466</v>
      </c>
      <c r="B134" s="38" t="s">
        <v>174</v>
      </c>
      <c r="C134" s="29"/>
      <c r="D134" s="29"/>
      <c r="E134" s="29"/>
      <c r="F134" s="29"/>
      <c r="G134" s="29"/>
      <c r="H134" s="35"/>
      <c r="I134" s="930">
        <f>(I126+2)</f>
        <v>9.8333333333333321</v>
      </c>
      <c r="J134" s="37"/>
      <c r="K134" s="49"/>
      <c r="L134" s="29"/>
      <c r="M134" s="29"/>
      <c r="N134" s="29"/>
      <c r="O134" s="29"/>
      <c r="P134" s="29"/>
      <c r="Q134" s="29"/>
      <c r="R134" s="29"/>
      <c r="S134" s="29"/>
      <c r="T134" s="237"/>
      <c r="U134" s="400"/>
    </row>
    <row r="135" spans="1:21" ht="22.8">
      <c r="A135" s="46"/>
      <c r="B135" s="29"/>
      <c r="C135" s="29"/>
      <c r="D135" s="29"/>
      <c r="E135" s="29"/>
      <c r="F135" s="29"/>
      <c r="G135" s="29"/>
      <c r="H135" s="35"/>
      <c r="I135" s="903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37"/>
      <c r="U135" s="398"/>
    </row>
    <row r="136" spans="1:21" ht="22.8">
      <c r="A136" s="265" t="s">
        <v>467</v>
      </c>
      <c r="B136" s="38" t="s">
        <v>175</v>
      </c>
      <c r="C136" s="29"/>
      <c r="D136" s="29"/>
      <c r="E136" s="29"/>
      <c r="F136" s="29"/>
      <c r="G136" s="29"/>
      <c r="H136" s="35"/>
      <c r="I136" s="892">
        <f>+I84*I134*K114</f>
        <v>61969.666666666657</v>
      </c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37"/>
      <c r="U136" s="400"/>
    </row>
    <row r="137" spans="1:21" ht="23.4" thickBot="1">
      <c r="A137" s="46"/>
      <c r="B137" s="29"/>
      <c r="C137" s="29"/>
      <c r="D137" s="29"/>
      <c r="E137" s="29"/>
      <c r="F137" s="29"/>
      <c r="G137" s="29"/>
      <c r="H137" s="35"/>
      <c r="I137" s="903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37"/>
      <c r="U137" s="398"/>
    </row>
    <row r="138" spans="1:21" ht="24" thickTop="1" thickBot="1">
      <c r="A138" s="265" t="s">
        <v>469</v>
      </c>
      <c r="B138" s="38" t="s">
        <v>176</v>
      </c>
      <c r="C138" s="29"/>
      <c r="D138" s="29"/>
      <c r="E138" s="29"/>
      <c r="F138" s="29"/>
      <c r="G138" s="29"/>
      <c r="H138" s="35"/>
      <c r="I138" s="889">
        <f>sysdata!L66</f>
        <v>7776</v>
      </c>
      <c r="J138" s="46"/>
      <c r="K138" s="29" t="s">
        <v>7</v>
      </c>
      <c r="L138" s="29"/>
      <c r="M138" s="29" t="s">
        <v>173</v>
      </c>
      <c r="N138" s="29"/>
      <c r="O138" s="29"/>
      <c r="P138" s="29"/>
      <c r="Q138" s="29"/>
      <c r="R138" s="29"/>
      <c r="S138" s="29"/>
      <c r="T138" s="237"/>
      <c r="U138" s="400"/>
    </row>
    <row r="139" spans="1:21" ht="23.4" thickTop="1">
      <c r="A139" s="46"/>
      <c r="B139" s="29"/>
      <c r="C139" s="29"/>
      <c r="D139" s="29"/>
      <c r="E139" s="29"/>
      <c r="F139" s="29"/>
      <c r="G139" s="29"/>
      <c r="H139" s="35"/>
      <c r="I139" s="905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37"/>
      <c r="U139" s="398"/>
    </row>
    <row r="140" spans="1:21" ht="23.4" thickBot="1">
      <c r="A140" s="265" t="s">
        <v>470</v>
      </c>
      <c r="B140" s="38" t="s">
        <v>73</v>
      </c>
      <c r="C140" s="29"/>
      <c r="D140" s="29"/>
      <c r="E140" s="29"/>
      <c r="F140" s="29"/>
      <c r="G140" s="29"/>
      <c r="H140" s="35"/>
      <c r="I140" s="928">
        <f>I136/I138</f>
        <v>7.9693501371742101</v>
      </c>
      <c r="J140" s="29"/>
      <c r="K140" s="29">
        <f>IF(I140&gt;INT(I140)+0.2,ROUNDUP(I140,0),ROUNDDOWN(I140,0))</f>
        <v>8</v>
      </c>
      <c r="L140" s="29"/>
      <c r="M140" s="29"/>
      <c r="N140" s="29"/>
      <c r="O140" s="29"/>
      <c r="P140" s="29"/>
      <c r="Q140" s="29"/>
      <c r="R140" s="29"/>
      <c r="S140" s="29"/>
      <c r="T140" s="237"/>
      <c r="U140" s="400"/>
    </row>
    <row r="141" spans="1:21" ht="24" thickTop="1" thickBot="1">
      <c r="A141" s="266" t="s">
        <v>0</v>
      </c>
      <c r="B141" s="88" t="s">
        <v>1</v>
      </c>
      <c r="C141" s="29"/>
      <c r="D141" s="29"/>
      <c r="E141" s="29"/>
      <c r="F141" s="29"/>
      <c r="G141" s="159">
        <v>0.25</v>
      </c>
      <c r="H141" s="35"/>
      <c r="I141" s="928">
        <f>+I140*$G$141</f>
        <v>1.9923375342935525</v>
      </c>
      <c r="J141" s="29"/>
      <c r="K141" s="29">
        <f>IF(I141&gt;INT(I141)+0.2,ROUNDUP(I141,0),ROUNDDOWN(I141,0))</f>
        <v>2</v>
      </c>
      <c r="L141" s="29"/>
      <c r="M141" s="29"/>
      <c r="N141" s="29"/>
      <c r="O141" s="29"/>
      <c r="P141" s="29"/>
      <c r="Q141" s="29"/>
      <c r="R141" s="29"/>
      <c r="S141" s="29"/>
      <c r="T141" s="237"/>
      <c r="U141" s="401"/>
    </row>
    <row r="142" spans="1:21" ht="23.4" thickTop="1">
      <c r="A142" s="266" t="s">
        <v>2</v>
      </c>
      <c r="B142" s="163" t="s">
        <v>3</v>
      </c>
      <c r="C142" s="29"/>
      <c r="D142" s="29"/>
      <c r="E142" s="29"/>
      <c r="F142" s="29"/>
      <c r="G142" s="29"/>
      <c r="H142" s="35"/>
      <c r="I142" s="928">
        <f>SUM(I140:I141)</f>
        <v>9.9616876714677627</v>
      </c>
      <c r="J142" s="29"/>
      <c r="K142" s="29">
        <f>SUM(K140:K141)</f>
        <v>10</v>
      </c>
      <c r="L142" s="29"/>
      <c r="M142" s="29"/>
      <c r="N142" s="29"/>
      <c r="O142" s="29"/>
      <c r="P142" s="29"/>
      <c r="Q142" s="29"/>
      <c r="R142" s="29"/>
      <c r="S142" s="29"/>
      <c r="T142" s="237"/>
      <c r="U142" s="401"/>
    </row>
    <row r="143" spans="1:21" ht="23.4" thickBot="1">
      <c r="A143" s="46"/>
      <c r="B143" s="29"/>
      <c r="C143" s="29"/>
      <c r="D143" s="29"/>
      <c r="E143" s="29"/>
      <c r="F143" s="29"/>
      <c r="G143" s="29"/>
      <c r="H143" s="35"/>
      <c r="I143" s="901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37"/>
      <c r="U143" s="398"/>
    </row>
    <row r="144" spans="1:21" ht="24" thickTop="1" thickBot="1">
      <c r="A144" s="264" t="s">
        <v>472</v>
      </c>
      <c r="B144" s="87" t="s">
        <v>179</v>
      </c>
      <c r="C144" s="29"/>
      <c r="D144" s="29"/>
      <c r="E144" s="29"/>
      <c r="F144" s="29"/>
      <c r="G144" s="29"/>
      <c r="H144" s="35"/>
      <c r="I144" s="912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37"/>
      <c r="U144" s="399"/>
    </row>
    <row r="145" spans="1:21" ht="23.4" thickTop="1">
      <c r="A145" s="46"/>
      <c r="B145" s="29"/>
      <c r="C145" s="29"/>
      <c r="D145" s="29"/>
      <c r="E145" s="29"/>
      <c r="F145" s="29"/>
      <c r="G145" s="29"/>
      <c r="H145" s="35"/>
      <c r="I145" s="901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37"/>
      <c r="U145" s="398"/>
    </row>
    <row r="146" spans="1:21" ht="23.4" thickBot="1">
      <c r="A146" s="265" t="s">
        <v>473</v>
      </c>
      <c r="B146" s="38" t="s">
        <v>43</v>
      </c>
      <c r="C146" s="29"/>
      <c r="D146" s="29"/>
      <c r="E146" s="29"/>
      <c r="F146" s="29"/>
      <c r="G146" s="29"/>
      <c r="H146" s="35"/>
      <c r="I146" s="930">
        <f>+(K114*I72)/(I19/I130)</f>
        <v>347.67978395061726</v>
      </c>
      <c r="J146" s="30"/>
      <c r="K146" s="29">
        <f>IF(I146&gt;INT(I146)+0.2,ROUNDUP(I146,0),ROUNDDOWN(I146,0))</f>
        <v>348</v>
      </c>
      <c r="L146" s="29"/>
      <c r="M146" s="29"/>
      <c r="N146" s="29"/>
      <c r="O146" s="29"/>
      <c r="P146" s="29"/>
      <c r="Q146" s="29"/>
      <c r="R146" s="29"/>
      <c r="S146" s="29"/>
      <c r="T146" s="237"/>
      <c r="U146" s="400"/>
    </row>
    <row r="147" spans="1:21" ht="24" thickTop="1" thickBot="1">
      <c r="A147" s="264" t="s">
        <v>283</v>
      </c>
      <c r="B147" s="88" t="s">
        <v>44</v>
      </c>
      <c r="C147" s="29"/>
      <c r="D147" s="29"/>
      <c r="E147" s="29"/>
      <c r="F147" s="30"/>
      <c r="G147" s="159">
        <v>0.15</v>
      </c>
      <c r="H147" s="35"/>
      <c r="I147" s="930">
        <f>+I146*G147</f>
        <v>52.151967592592591</v>
      </c>
      <c r="J147" s="29"/>
      <c r="K147" s="29">
        <f>IF(I147&gt;INT(I147)+0.2,ROUNDUP(I147,0),ROUNDDOWN(I147,0))</f>
        <v>52</v>
      </c>
      <c r="L147" s="29"/>
      <c r="M147" s="29"/>
      <c r="N147" s="29"/>
      <c r="O147" s="29"/>
      <c r="P147" s="29"/>
      <c r="Q147" s="29"/>
      <c r="R147" s="29"/>
      <c r="S147" s="29"/>
      <c r="T147" s="237"/>
      <c r="U147" s="399"/>
    </row>
    <row r="148" spans="1:21" ht="23.4" thickTop="1">
      <c r="A148" s="269" t="s">
        <v>284</v>
      </c>
      <c r="B148" s="163" t="s">
        <v>45</v>
      </c>
      <c r="C148" s="30"/>
      <c r="D148" s="30"/>
      <c r="E148" s="30"/>
      <c r="F148" s="30"/>
      <c r="G148" s="30"/>
      <c r="H148" s="30"/>
      <c r="I148" s="931">
        <f>SUM(I146:I147)</f>
        <v>399.83175154320986</v>
      </c>
      <c r="J148" s="30"/>
      <c r="K148" s="29">
        <f>IF(I148&gt;INT(I148)+0.2,ROUNDUP(I148,0),ROUNDDOWN(I148,0))</f>
        <v>400</v>
      </c>
      <c r="L148" s="29"/>
      <c r="M148" s="29"/>
      <c r="N148" s="29"/>
      <c r="O148" s="29">
        <f>8/5</f>
        <v>1.6</v>
      </c>
      <c r="P148" s="29"/>
      <c r="Q148" s="29"/>
      <c r="R148" s="29"/>
      <c r="S148" s="29"/>
      <c r="T148" s="237"/>
      <c r="U148" s="405"/>
    </row>
    <row r="149" spans="1:21" ht="22.8">
      <c r="A149" s="266"/>
      <c r="B149" s="38"/>
      <c r="C149" s="29"/>
      <c r="D149" s="29"/>
      <c r="E149" s="29"/>
      <c r="F149" s="29"/>
      <c r="G149" s="29"/>
      <c r="H149" s="35"/>
      <c r="I149" s="903" t="s">
        <v>350</v>
      </c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37"/>
      <c r="U149" s="401"/>
    </row>
    <row r="150" spans="1:21" ht="22.8">
      <c r="A150" s="265" t="s">
        <v>474</v>
      </c>
      <c r="B150" s="38" t="s">
        <v>78</v>
      </c>
      <c r="C150" s="29"/>
      <c r="D150" s="29"/>
      <c r="E150" s="29"/>
      <c r="F150" s="29"/>
      <c r="G150" s="29"/>
      <c r="H150" s="35"/>
      <c r="I150" s="892">
        <f>+(I25*K114)/1000</f>
        <v>1480.97</v>
      </c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37"/>
      <c r="U150" s="400"/>
    </row>
    <row r="151" spans="1:21" ht="22.8">
      <c r="A151" s="266"/>
      <c r="B151" s="38"/>
      <c r="C151" s="29"/>
      <c r="D151" s="29"/>
      <c r="E151" s="29"/>
      <c r="F151" s="29"/>
      <c r="G151" s="29"/>
      <c r="H151" s="35"/>
      <c r="I151" s="903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37"/>
      <c r="U151" s="401"/>
    </row>
    <row r="152" spans="1:21" ht="22.8">
      <c r="A152" s="265" t="s">
        <v>476</v>
      </c>
      <c r="B152" s="38" t="s">
        <v>61</v>
      </c>
      <c r="C152" s="29"/>
      <c r="D152" s="29"/>
      <c r="E152" s="29"/>
      <c r="F152" s="29"/>
      <c r="G152" s="29"/>
      <c r="H152" s="35"/>
      <c r="I152" s="892">
        <f>((I25+2)*I84*K114)/1000</f>
        <v>2974.5439999999999</v>
      </c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37"/>
      <c r="U152" s="400"/>
    </row>
    <row r="153" spans="1:21" ht="22.8">
      <c r="A153" s="266"/>
      <c r="B153" s="38"/>
      <c r="C153" s="29"/>
      <c r="D153" s="29"/>
      <c r="E153" s="29"/>
      <c r="F153" s="29"/>
      <c r="G153" s="29"/>
      <c r="H153" s="35"/>
      <c r="I153" s="903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37"/>
      <c r="U153" s="401"/>
    </row>
    <row r="154" spans="1:21" ht="22.8">
      <c r="A154" s="265" t="s">
        <v>477</v>
      </c>
      <c r="B154" s="38" t="s">
        <v>108</v>
      </c>
      <c r="C154" s="29"/>
      <c r="D154" s="29"/>
      <c r="E154" s="29"/>
      <c r="F154" s="29"/>
      <c r="G154" s="29"/>
      <c r="H154" s="29"/>
      <c r="I154" s="892">
        <f>(I25*I72*K114)/1000</f>
        <v>59238.8</v>
      </c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37"/>
      <c r="U154" s="400"/>
    </row>
    <row r="155" spans="1:21" ht="22.8">
      <c r="A155" s="266"/>
      <c r="B155" s="38"/>
      <c r="C155" s="29"/>
      <c r="D155" s="29"/>
      <c r="E155" s="29"/>
      <c r="F155" s="29"/>
      <c r="G155" s="29"/>
      <c r="H155" s="35"/>
      <c r="I155" s="892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37"/>
      <c r="U155" s="401"/>
    </row>
    <row r="156" spans="1:21" ht="22.8">
      <c r="A156" s="265" t="s">
        <v>479</v>
      </c>
      <c r="B156" s="38" t="s">
        <v>62</v>
      </c>
      <c r="C156" s="29"/>
      <c r="D156" s="29"/>
      <c r="E156" s="29"/>
      <c r="F156" s="29"/>
      <c r="G156" s="29"/>
      <c r="H156" s="35"/>
      <c r="I156" s="892">
        <f>+(K114*0.5*I25*I92)/1000+(K114*0.5*I25*I94)/1000</f>
        <v>3407415.7760000001</v>
      </c>
      <c r="J156" s="37"/>
      <c r="K156" s="344"/>
      <c r="L156" s="29"/>
      <c r="M156" s="29"/>
      <c r="N156" s="29"/>
      <c r="O156" s="29"/>
      <c r="P156" s="29"/>
      <c r="Q156" s="29"/>
      <c r="R156" s="29"/>
      <c r="S156" s="29"/>
      <c r="T156" s="237"/>
      <c r="U156" s="400"/>
    </row>
    <row r="157" spans="1:21" ht="22.8">
      <c r="A157" s="266"/>
      <c r="B157" s="38"/>
      <c r="C157" s="29"/>
      <c r="D157" s="29"/>
      <c r="E157" s="29"/>
      <c r="F157" s="29"/>
      <c r="G157" s="29"/>
      <c r="H157" s="35"/>
      <c r="I157" s="892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37"/>
      <c r="U157" s="401"/>
    </row>
    <row r="158" spans="1:21" ht="22.8">
      <c r="A158" s="265" t="s">
        <v>480</v>
      </c>
      <c r="B158" s="38" t="s">
        <v>65</v>
      </c>
      <c r="C158" s="29"/>
      <c r="D158" s="29"/>
      <c r="E158" s="29"/>
      <c r="F158" s="29"/>
      <c r="G158" s="29"/>
      <c r="H158" s="35"/>
      <c r="I158" s="892">
        <f>+(K114*0.5*I25*I96)/1000+(K114*0.5*I25*I98)/1000</f>
        <v>3851706.7760000005</v>
      </c>
      <c r="J158" s="37"/>
      <c r="K158" s="49"/>
      <c r="L158" s="35"/>
      <c r="M158" s="29"/>
      <c r="N158" s="29"/>
      <c r="O158" s="29"/>
      <c r="P158" s="29"/>
      <c r="Q158" s="29"/>
      <c r="R158" s="29"/>
      <c r="S158" s="29"/>
      <c r="T158" s="237"/>
      <c r="U158" s="400"/>
    </row>
    <row r="159" spans="1:21" ht="23.4" thickBot="1">
      <c r="A159" s="266"/>
      <c r="B159" s="38"/>
      <c r="C159" s="29"/>
      <c r="D159" s="29"/>
      <c r="E159" s="29"/>
      <c r="F159" s="29"/>
      <c r="G159" s="29"/>
      <c r="H159" s="35"/>
      <c r="I159" s="903"/>
      <c r="J159" s="29"/>
      <c r="K159" s="29"/>
      <c r="L159" s="35"/>
      <c r="M159" s="29"/>
      <c r="N159" s="29"/>
      <c r="O159" s="29"/>
      <c r="P159" s="29"/>
      <c r="Q159" s="29"/>
      <c r="R159" s="29"/>
      <c r="S159" s="29"/>
      <c r="T159" s="237"/>
      <c r="U159" s="401"/>
    </row>
    <row r="160" spans="1:21" ht="24" thickTop="1" thickBot="1">
      <c r="A160" s="265" t="s">
        <v>688</v>
      </c>
      <c r="B160" s="38" t="s">
        <v>455</v>
      </c>
      <c r="C160" s="29"/>
      <c r="D160" s="29"/>
      <c r="E160" s="29"/>
      <c r="F160" s="29"/>
      <c r="G160" s="29"/>
      <c r="H160" s="35"/>
      <c r="I160" s="904">
        <f>sysdata!G66</f>
        <v>3</v>
      </c>
      <c r="J160" s="46"/>
      <c r="K160" s="29"/>
      <c r="L160" s="35"/>
      <c r="M160" s="29"/>
      <c r="N160" s="29"/>
      <c r="O160" s="29"/>
      <c r="P160" s="29"/>
      <c r="Q160" s="29"/>
      <c r="R160" s="29"/>
      <c r="S160" s="29"/>
      <c r="T160" s="237"/>
      <c r="U160" s="400"/>
    </row>
    <row r="161" spans="1:21" ht="24" thickTop="1" thickBot="1">
      <c r="A161" s="265"/>
      <c r="B161" s="38"/>
      <c r="C161" s="29"/>
      <c r="D161" s="29"/>
      <c r="E161" s="29"/>
      <c r="F161" s="29"/>
      <c r="G161" s="29"/>
      <c r="H161" s="35"/>
      <c r="I161" s="914"/>
      <c r="J161" s="91"/>
      <c r="K161" s="29"/>
      <c r="L161" s="35"/>
      <c r="M161" s="29"/>
      <c r="N161" s="29"/>
      <c r="O161" s="29"/>
      <c r="P161" s="29"/>
      <c r="Q161" s="29"/>
      <c r="R161" s="29"/>
      <c r="S161" s="29"/>
      <c r="T161" s="237"/>
      <c r="U161" s="400"/>
    </row>
    <row r="162" spans="1:21" ht="24" thickTop="1" thickBot="1">
      <c r="A162" s="265" t="s">
        <v>689</v>
      </c>
      <c r="B162" s="38" t="s">
        <v>902</v>
      </c>
      <c r="C162" s="29"/>
      <c r="D162" s="29"/>
      <c r="E162" s="29"/>
      <c r="F162" s="29"/>
      <c r="G162" s="29"/>
      <c r="H162" s="35"/>
      <c r="I162" s="915">
        <f>sysdata!G69</f>
        <v>11.4</v>
      </c>
      <c r="J162" s="91"/>
      <c r="K162" s="29"/>
      <c r="L162" s="35"/>
      <c r="M162" s="29"/>
      <c r="N162" s="29"/>
      <c r="O162" s="29"/>
      <c r="P162" s="29"/>
      <c r="Q162" s="29"/>
      <c r="R162" s="29"/>
      <c r="S162" s="29"/>
      <c r="T162" s="237"/>
      <c r="U162" s="400"/>
    </row>
    <row r="163" spans="1:21" ht="23.4" thickTop="1">
      <c r="A163" s="266"/>
      <c r="B163" s="38" t="s">
        <v>419</v>
      </c>
      <c r="C163" s="29"/>
      <c r="D163" s="29"/>
      <c r="E163" s="29"/>
      <c r="F163" s="29"/>
      <c r="G163" s="29"/>
      <c r="H163" s="35"/>
      <c r="I163" s="905"/>
      <c r="J163" s="29"/>
      <c r="K163" s="29"/>
      <c r="L163" s="35"/>
      <c r="M163" s="29"/>
      <c r="N163" s="29"/>
      <c r="O163" s="29"/>
      <c r="P163" s="29"/>
      <c r="Q163" s="29"/>
      <c r="R163" s="29"/>
      <c r="S163" s="29"/>
      <c r="T163" s="237"/>
      <c r="U163" s="401"/>
    </row>
    <row r="164" spans="1:21" ht="22.8">
      <c r="A164" s="265" t="s">
        <v>482</v>
      </c>
      <c r="B164" s="38" t="s">
        <v>63</v>
      </c>
      <c r="C164" s="29"/>
      <c r="D164" s="29"/>
      <c r="E164" s="29"/>
      <c r="F164" s="29"/>
      <c r="G164" s="29"/>
      <c r="H164" s="35"/>
      <c r="I164" s="932">
        <f>IF(I82="D",I156*I160,0)</f>
        <v>10222247.328</v>
      </c>
      <c r="J164" s="29"/>
      <c r="K164" s="29"/>
      <c r="L164" s="35"/>
      <c r="M164" s="29"/>
      <c r="N164" s="29"/>
      <c r="O164" s="29"/>
      <c r="P164" s="29"/>
      <c r="Q164" s="29"/>
      <c r="R164" s="29"/>
      <c r="S164" s="29"/>
      <c r="T164" s="237"/>
      <c r="U164" s="400"/>
    </row>
    <row r="165" spans="1:21" ht="22.8">
      <c r="A165" s="266"/>
      <c r="B165" s="38"/>
      <c r="C165" s="29"/>
      <c r="D165" s="29"/>
      <c r="E165" s="29"/>
      <c r="F165" s="29"/>
      <c r="G165" s="29"/>
      <c r="H165" s="35"/>
      <c r="I165" s="916"/>
      <c r="J165" s="29"/>
      <c r="K165" s="29"/>
      <c r="L165" s="35"/>
      <c r="M165" s="29"/>
      <c r="N165" s="29"/>
      <c r="O165" s="29"/>
      <c r="P165" s="29"/>
      <c r="Q165" s="29"/>
      <c r="R165" s="29"/>
      <c r="S165" s="29"/>
      <c r="T165" s="237"/>
      <c r="U165" s="401"/>
    </row>
    <row r="166" spans="1:21" ht="22.8">
      <c r="A166" s="266" t="s">
        <v>896</v>
      </c>
      <c r="B166" s="38" t="s">
        <v>897</v>
      </c>
      <c r="C166" s="29"/>
      <c r="D166" s="29"/>
      <c r="E166" s="29"/>
      <c r="F166" s="29"/>
      <c r="G166" s="29"/>
      <c r="H166" s="35"/>
      <c r="I166" s="932">
        <f>IF(I82="e",I156*I162,0)</f>
        <v>0</v>
      </c>
      <c r="J166" s="29"/>
      <c r="K166" s="29"/>
      <c r="L166" s="35"/>
      <c r="M166" s="29"/>
      <c r="N166" s="29"/>
      <c r="O166" s="29"/>
      <c r="P166" s="29"/>
      <c r="Q166" s="29"/>
      <c r="R166" s="29"/>
      <c r="S166" s="29"/>
      <c r="T166" s="237"/>
      <c r="U166" s="401"/>
    </row>
    <row r="167" spans="1:21" ht="22.8">
      <c r="A167" s="266"/>
      <c r="B167" s="38"/>
      <c r="C167" s="29"/>
      <c r="D167" s="29"/>
      <c r="E167" s="29"/>
      <c r="F167" s="29"/>
      <c r="G167" s="29"/>
      <c r="H167" s="35"/>
      <c r="I167" s="916"/>
      <c r="J167" s="29"/>
      <c r="K167" s="29"/>
      <c r="L167" s="35"/>
      <c r="M167" s="29"/>
      <c r="N167" s="29"/>
      <c r="O167" s="29"/>
      <c r="P167" s="29"/>
      <c r="Q167" s="29"/>
      <c r="R167" s="29"/>
      <c r="S167" s="29"/>
      <c r="T167" s="237"/>
      <c r="U167" s="401"/>
    </row>
    <row r="168" spans="1:21" ht="22.8">
      <c r="A168" s="265" t="s">
        <v>483</v>
      </c>
      <c r="B168" s="161" t="s">
        <v>273</v>
      </c>
      <c r="C168" s="29"/>
      <c r="D168" s="29"/>
      <c r="E168" s="29"/>
      <c r="F168" s="29"/>
      <c r="G168" s="29"/>
      <c r="H168" s="35"/>
      <c r="I168" s="916"/>
      <c r="J168" s="29"/>
      <c r="K168" s="29"/>
      <c r="L168" s="35"/>
      <c r="M168" s="29"/>
      <c r="N168" s="29"/>
      <c r="O168" s="29"/>
      <c r="P168" s="29"/>
      <c r="Q168" s="29"/>
      <c r="R168" s="29"/>
      <c r="S168" s="29"/>
      <c r="T168" s="237"/>
      <c r="U168" s="400"/>
    </row>
    <row r="169" spans="1:21" ht="22.8">
      <c r="A169" s="266"/>
      <c r="B169" s="38"/>
      <c r="C169" s="29"/>
      <c r="D169" s="29"/>
      <c r="E169" s="29"/>
      <c r="F169" s="29"/>
      <c r="G169" s="29"/>
      <c r="H169" s="35"/>
      <c r="I169" s="916"/>
      <c r="J169" s="29"/>
      <c r="K169" s="29"/>
      <c r="L169" s="35"/>
      <c r="M169" s="29"/>
      <c r="N169" s="29"/>
      <c r="O169" s="29"/>
      <c r="P169" s="29"/>
      <c r="Q169" s="29"/>
      <c r="R169" s="29"/>
      <c r="S169" s="29"/>
      <c r="T169" s="237"/>
      <c r="U169" s="401"/>
    </row>
    <row r="170" spans="1:21" ht="22.8">
      <c r="A170" s="266" t="s">
        <v>285</v>
      </c>
      <c r="B170" s="38" t="s">
        <v>678</v>
      </c>
      <c r="C170" s="29"/>
      <c r="D170" s="29"/>
      <c r="E170" s="29"/>
      <c r="F170" s="29"/>
      <c r="G170" s="29"/>
      <c r="H170" s="35"/>
      <c r="I170" s="932">
        <f>sysdata!F25</f>
        <v>688.2</v>
      </c>
      <c r="J170" s="29"/>
      <c r="K170" s="29"/>
      <c r="L170" s="35"/>
      <c r="M170" s="29"/>
      <c r="N170" s="29"/>
      <c r="O170" s="29"/>
      <c r="P170" s="29"/>
      <c r="Q170" s="29"/>
      <c r="R170" s="29"/>
      <c r="S170" s="29"/>
      <c r="T170" s="237"/>
      <c r="U170" s="401"/>
    </row>
    <row r="171" spans="1:21" ht="23.4" thickBot="1">
      <c r="A171" s="266"/>
      <c r="B171" s="38"/>
      <c r="C171" s="29"/>
      <c r="D171" s="29"/>
      <c r="E171" s="29"/>
      <c r="F171" s="29"/>
      <c r="G171" s="29"/>
      <c r="H171" s="35"/>
      <c r="I171" s="916"/>
      <c r="J171" s="29"/>
      <c r="K171" s="29"/>
      <c r="L171" s="35"/>
      <c r="M171" s="29"/>
      <c r="N171" s="29"/>
      <c r="O171" s="29"/>
      <c r="P171" s="29"/>
      <c r="Q171" s="29"/>
      <c r="R171" s="29"/>
      <c r="S171" s="29"/>
      <c r="T171" s="237"/>
      <c r="U171" s="401"/>
    </row>
    <row r="172" spans="1:21" ht="24" thickTop="1" thickBot="1">
      <c r="A172" s="265" t="s">
        <v>286</v>
      </c>
      <c r="B172" s="38" t="s">
        <v>85</v>
      </c>
      <c r="C172" s="29"/>
      <c r="D172" s="29"/>
      <c r="E172" s="29"/>
      <c r="F172" s="29"/>
      <c r="G172" s="29"/>
      <c r="H172" s="35"/>
      <c r="I172" s="933">
        <f>+sysdata!E25/(sysdata!C177+sysdata!C178)</f>
        <v>117.5</v>
      </c>
      <c r="J172" s="29"/>
      <c r="K172" s="29"/>
      <c r="L172" s="35"/>
      <c r="M172" s="29"/>
      <c r="N172" s="29"/>
      <c r="O172" s="29"/>
      <c r="P172" s="29"/>
      <c r="Q172" s="29"/>
      <c r="R172" s="29"/>
      <c r="S172" s="29"/>
      <c r="T172" s="237"/>
      <c r="U172" s="400"/>
    </row>
    <row r="173" spans="1:21" ht="23.4" thickTop="1">
      <c r="A173" s="266"/>
      <c r="B173" s="38"/>
      <c r="C173" s="29"/>
      <c r="D173" s="29"/>
      <c r="E173" s="29"/>
      <c r="F173" s="29"/>
      <c r="G173" s="29"/>
      <c r="H173" s="35"/>
      <c r="I173" s="916"/>
      <c r="J173" s="29"/>
      <c r="K173" s="29"/>
      <c r="L173" s="35"/>
      <c r="M173" s="29"/>
      <c r="N173" s="29"/>
      <c r="O173" s="29"/>
      <c r="P173" s="29"/>
      <c r="Q173" s="29"/>
      <c r="R173" s="29"/>
      <c r="S173" s="29"/>
      <c r="T173" s="237"/>
      <c r="U173" s="401"/>
    </row>
    <row r="174" spans="1:21" ht="22.8">
      <c r="A174" s="265" t="s">
        <v>287</v>
      </c>
      <c r="B174" s="38" t="s">
        <v>86</v>
      </c>
      <c r="C174" s="29"/>
      <c r="D174" s="29"/>
      <c r="E174" s="29"/>
      <c r="F174" s="29"/>
      <c r="G174" s="29"/>
      <c r="H174" s="35"/>
      <c r="I174" s="916">
        <f>+(I25/I172)</f>
        <v>4</v>
      </c>
      <c r="J174" s="29"/>
      <c r="K174" s="29"/>
      <c r="L174" s="35"/>
      <c r="M174" s="29"/>
      <c r="N174" s="29"/>
      <c r="O174" s="29"/>
      <c r="P174" s="29"/>
      <c r="Q174" s="29"/>
      <c r="R174" s="29"/>
      <c r="S174" s="29"/>
      <c r="T174" s="237"/>
      <c r="U174" s="400"/>
    </row>
    <row r="175" spans="1:21" ht="23.4" thickBot="1">
      <c r="A175" s="265"/>
      <c r="B175" s="38"/>
      <c r="C175" s="29"/>
      <c r="D175" s="29"/>
      <c r="E175" s="29"/>
      <c r="F175" s="29"/>
      <c r="G175" s="29"/>
      <c r="H175" s="35"/>
      <c r="I175" s="916"/>
      <c r="J175" s="29"/>
      <c r="K175" s="29"/>
      <c r="L175" s="35"/>
      <c r="M175" s="29"/>
      <c r="N175" s="29"/>
      <c r="O175" s="29"/>
      <c r="P175" s="29"/>
      <c r="Q175" s="29"/>
      <c r="R175" s="29"/>
      <c r="S175" s="29"/>
      <c r="T175" s="237"/>
      <c r="U175" s="400"/>
    </row>
    <row r="176" spans="1:21" ht="24" thickTop="1" thickBot="1">
      <c r="A176" s="265" t="s">
        <v>288</v>
      </c>
      <c r="B176" s="38" t="s">
        <v>272</v>
      </c>
      <c r="C176" s="29"/>
      <c r="D176" s="29"/>
      <c r="E176" s="29"/>
      <c r="F176" s="29"/>
      <c r="G176" s="29"/>
      <c r="H176" s="35"/>
      <c r="I176" s="946">
        <f>+I114/I118</f>
        <v>0.42173858482278909</v>
      </c>
      <c r="J176" s="29"/>
      <c r="K176" s="29"/>
      <c r="L176" s="35"/>
      <c r="M176" s="29"/>
      <c r="N176" s="29"/>
      <c r="O176" s="29"/>
      <c r="P176" s="29"/>
      <c r="Q176" s="29"/>
      <c r="R176" s="29"/>
      <c r="S176" s="29"/>
      <c r="T176" s="237"/>
      <c r="U176" s="400"/>
    </row>
    <row r="177" spans="1:21" ht="23.4" thickTop="1">
      <c r="A177" s="265"/>
      <c r="B177" s="38"/>
      <c r="C177" s="29"/>
      <c r="D177" s="29"/>
      <c r="E177" s="29"/>
      <c r="F177" s="29"/>
      <c r="G177" s="29"/>
      <c r="H177" s="35"/>
      <c r="I177" s="916"/>
      <c r="J177" s="29"/>
      <c r="K177" s="29"/>
      <c r="L177" s="35"/>
      <c r="M177" s="29"/>
      <c r="N177" s="29"/>
      <c r="O177" s="29"/>
      <c r="P177" s="29"/>
      <c r="Q177" s="29"/>
      <c r="R177" s="29"/>
      <c r="S177" s="29"/>
      <c r="T177" s="237"/>
      <c r="U177" s="400"/>
    </row>
    <row r="178" spans="1:21" ht="30">
      <c r="A178" s="265" t="s">
        <v>289</v>
      </c>
      <c r="B178" s="38" t="s">
        <v>91</v>
      </c>
      <c r="C178" s="29"/>
      <c r="D178" s="29"/>
      <c r="E178" s="29"/>
      <c r="F178" s="29"/>
      <c r="G178" s="29"/>
      <c r="H178" s="35"/>
      <c r="I178" s="917" t="str">
        <f>IF(K118&gt;10000,"DOUBLE!","SINGLE!")</f>
        <v>SINGLE!</v>
      </c>
      <c r="J178" s="29"/>
      <c r="K178" s="29"/>
      <c r="L178" s="35"/>
      <c r="M178" s="29"/>
      <c r="N178" s="29"/>
      <c r="O178" s="29"/>
      <c r="P178" s="29"/>
      <c r="Q178" s="29"/>
      <c r="R178" s="29"/>
      <c r="S178" s="29"/>
      <c r="T178" s="237"/>
      <c r="U178" s="400"/>
    </row>
    <row r="179" spans="1:21" ht="23.4" thickBot="1">
      <c r="A179" s="266"/>
      <c r="B179" s="38"/>
      <c r="C179" s="29"/>
      <c r="D179" s="29"/>
      <c r="E179" s="29"/>
      <c r="F179" s="29"/>
      <c r="G179" s="29"/>
      <c r="H179" s="35"/>
      <c r="I179" s="916"/>
      <c r="J179" s="29"/>
      <c r="K179" s="29"/>
      <c r="L179" s="35"/>
      <c r="M179" s="29"/>
      <c r="N179" s="29"/>
      <c r="O179" s="29"/>
      <c r="P179" s="29"/>
      <c r="Q179" s="29"/>
      <c r="R179" s="29"/>
      <c r="S179" s="29"/>
      <c r="T179" s="237"/>
      <c r="U179" s="401"/>
    </row>
    <row r="180" spans="1:21" ht="24" thickTop="1" thickBot="1">
      <c r="A180" s="265" t="s">
        <v>679</v>
      </c>
      <c r="B180" s="38" t="s">
        <v>270</v>
      </c>
      <c r="C180" s="29"/>
      <c r="D180" s="29"/>
      <c r="E180" s="29"/>
      <c r="F180" s="29"/>
      <c r="G180" s="29"/>
      <c r="H180" s="35"/>
      <c r="I180" s="946">
        <f>+I114/I118</f>
        <v>0.42173858482278909</v>
      </c>
      <c r="J180" s="29"/>
      <c r="K180" s="29"/>
      <c r="L180" s="35"/>
      <c r="M180" s="29"/>
      <c r="N180" s="29"/>
      <c r="O180" s="29" t="s">
        <v>271</v>
      </c>
      <c r="P180" s="29"/>
      <c r="Q180" s="29"/>
      <c r="R180" s="29"/>
      <c r="S180" s="29"/>
      <c r="T180" s="237"/>
      <c r="U180" s="400"/>
    </row>
    <row r="181" spans="1:21" ht="23.4" thickTop="1">
      <c r="A181" s="266"/>
      <c r="B181" s="38"/>
      <c r="C181" s="29"/>
      <c r="D181" s="29"/>
      <c r="E181" s="29"/>
      <c r="F181" s="29"/>
      <c r="G181" s="29"/>
      <c r="H181" s="35"/>
      <c r="I181" s="916"/>
      <c r="J181" s="29"/>
      <c r="K181" s="29"/>
      <c r="L181" s="35"/>
      <c r="M181" s="29"/>
      <c r="N181" s="29"/>
      <c r="O181" s="29"/>
      <c r="P181" s="29"/>
      <c r="Q181" s="29"/>
      <c r="R181" s="29"/>
      <c r="S181" s="29"/>
      <c r="T181" s="237"/>
      <c r="U181" s="401"/>
    </row>
    <row r="182" spans="1:21" ht="23.4" thickBot="1">
      <c r="A182" s="266"/>
      <c r="B182" s="38"/>
      <c r="C182" s="29"/>
      <c r="D182" s="29"/>
      <c r="E182" s="29"/>
      <c r="F182" s="29"/>
      <c r="G182" s="29"/>
      <c r="H182" s="35"/>
      <c r="I182" s="916"/>
      <c r="J182" s="29"/>
      <c r="K182" s="29"/>
      <c r="L182" s="35"/>
      <c r="M182" s="29"/>
      <c r="N182" s="29"/>
      <c r="O182" s="29"/>
      <c r="P182" s="29"/>
      <c r="Q182" s="29"/>
      <c r="R182" s="29"/>
      <c r="S182" s="29"/>
      <c r="T182" s="237"/>
      <c r="U182" s="401"/>
    </row>
    <row r="183" spans="1:21" ht="23.4" thickTop="1">
      <c r="A183" s="278" t="s">
        <v>156</v>
      </c>
      <c r="B183" s="279"/>
      <c r="C183" s="279"/>
      <c r="D183" s="279"/>
      <c r="E183" s="279"/>
      <c r="F183" s="279"/>
      <c r="G183" s="279"/>
      <c r="H183" s="279"/>
      <c r="I183" s="911"/>
      <c r="J183" s="281"/>
      <c r="K183" s="282"/>
      <c r="L183" s="282"/>
      <c r="M183" s="282"/>
      <c r="N183" s="282"/>
      <c r="O183" s="282"/>
      <c r="P183" s="282"/>
      <c r="Q183" s="282"/>
      <c r="R183" s="282"/>
      <c r="S183" s="282"/>
      <c r="T183" s="283"/>
      <c r="U183" s="387"/>
    </row>
    <row r="184" spans="1:21">
      <c r="A184" s="268"/>
      <c r="B184" s="28"/>
      <c r="C184" s="28"/>
      <c r="D184" s="28"/>
      <c r="E184" s="28"/>
      <c r="F184" s="28"/>
      <c r="G184" s="28"/>
      <c r="H184" s="28"/>
      <c r="I184" s="918"/>
      <c r="J184" s="28"/>
      <c r="K184" s="28"/>
      <c r="L184" s="28"/>
      <c r="M184" s="28"/>
      <c r="N184" s="28"/>
      <c r="O184" s="28"/>
      <c r="P184" s="28"/>
      <c r="Q184" s="28"/>
      <c r="R184" s="28"/>
      <c r="S184" s="47"/>
      <c r="T184" s="237"/>
      <c r="U184" s="406"/>
    </row>
    <row r="185" spans="1:21" ht="22.8">
      <c r="A185" s="263" t="s">
        <v>459</v>
      </c>
      <c r="B185" s="34" t="s">
        <v>79</v>
      </c>
      <c r="C185" s="29"/>
      <c r="D185" s="29"/>
      <c r="E185" s="29"/>
      <c r="F185" s="29"/>
      <c r="G185" s="29"/>
      <c r="H185" s="29"/>
      <c r="I185" s="903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37"/>
      <c r="U185" s="397"/>
    </row>
    <row r="186" spans="1:21" ht="23.4" thickBot="1">
      <c r="A186" s="263"/>
      <c r="B186" s="45"/>
      <c r="C186" s="29"/>
      <c r="D186" s="29"/>
      <c r="E186" s="29"/>
      <c r="F186" s="29"/>
      <c r="G186" s="29"/>
      <c r="H186" s="29"/>
      <c r="I186" s="903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37"/>
      <c r="U186" s="397"/>
    </row>
    <row r="187" spans="1:21" ht="24" thickTop="1" thickBot="1">
      <c r="A187" s="263"/>
      <c r="B187" s="50"/>
      <c r="C187" s="37" t="s">
        <v>460</v>
      </c>
      <c r="D187" s="29"/>
      <c r="E187" s="29"/>
      <c r="F187" s="29"/>
      <c r="G187" s="29"/>
      <c r="H187" s="29"/>
      <c r="I187" s="919" t="s">
        <v>660</v>
      </c>
      <c r="J187" s="46"/>
      <c r="K187" s="29"/>
      <c r="L187" s="29"/>
      <c r="M187" s="165"/>
      <c r="N187" s="29"/>
      <c r="O187" s="29"/>
      <c r="P187" s="29"/>
      <c r="Q187" s="29"/>
      <c r="R187" s="29"/>
      <c r="S187" s="29"/>
      <c r="T187" s="237"/>
      <c r="U187" s="397"/>
    </row>
    <row r="188" spans="1:21" ht="23.4" thickTop="1">
      <c r="A188" s="46"/>
      <c r="B188" s="29"/>
      <c r="C188" s="29"/>
      <c r="D188" s="29"/>
      <c r="E188" s="29"/>
      <c r="F188" s="29"/>
      <c r="G188" s="29"/>
      <c r="H188" s="29"/>
      <c r="I188" s="905"/>
      <c r="J188" s="29"/>
      <c r="K188" s="29"/>
      <c r="L188" s="29"/>
      <c r="M188" s="89"/>
      <c r="N188" s="29"/>
      <c r="O188" s="29"/>
      <c r="P188" s="29"/>
      <c r="Q188" s="29"/>
      <c r="R188" s="29"/>
      <c r="S188" s="29"/>
      <c r="T188" s="237"/>
      <c r="U188" s="398"/>
    </row>
    <row r="189" spans="1:21" ht="22.8">
      <c r="A189" s="46"/>
      <c r="B189" s="29"/>
      <c r="C189" s="29"/>
      <c r="D189" s="29"/>
      <c r="E189" s="29"/>
      <c r="F189" s="29"/>
      <c r="G189" s="29"/>
      <c r="H189" s="29"/>
      <c r="I189" s="901"/>
      <c r="J189" s="29"/>
      <c r="K189" s="29"/>
      <c r="L189" s="29"/>
      <c r="M189" s="89"/>
      <c r="N189" s="29"/>
      <c r="O189" s="29"/>
      <c r="P189" s="29"/>
      <c r="Q189" s="29">
        <f>7000/8025</f>
        <v>0.87227414330218067</v>
      </c>
      <c r="R189" s="29"/>
      <c r="S189" s="29"/>
      <c r="T189" s="237">
        <f>51166/3.75</f>
        <v>13644.266666666666</v>
      </c>
      <c r="U189" s="398"/>
    </row>
    <row r="190" spans="1:21" ht="22.8">
      <c r="A190" s="46"/>
      <c r="B190" s="29"/>
      <c r="C190" s="29"/>
      <c r="D190" s="29"/>
      <c r="E190" s="29"/>
      <c r="F190" s="29"/>
      <c r="G190" s="29"/>
      <c r="H190" s="29"/>
      <c r="I190" s="920" t="s">
        <v>80</v>
      </c>
      <c r="J190" s="172" t="s">
        <v>82</v>
      </c>
      <c r="K190" s="29"/>
      <c r="L190" s="29"/>
      <c r="M190" s="171" t="s">
        <v>81</v>
      </c>
      <c r="N190" s="29"/>
      <c r="O190" s="29"/>
      <c r="P190" s="29"/>
      <c r="Q190" s="29"/>
      <c r="R190" s="29"/>
      <c r="S190" s="29"/>
      <c r="T190" s="237">
        <f>30000/3.75</f>
        <v>8000</v>
      </c>
      <c r="U190" s="398"/>
    </row>
    <row r="191" spans="1:21" ht="22.8">
      <c r="A191" s="46"/>
      <c r="B191" s="29"/>
      <c r="C191" s="29"/>
      <c r="D191" s="29"/>
      <c r="E191" s="29"/>
      <c r="F191" s="29"/>
      <c r="G191" s="29"/>
      <c r="H191" s="29"/>
      <c r="I191" s="901"/>
      <c r="J191" s="173" t="s">
        <v>83</v>
      </c>
      <c r="K191" s="29"/>
      <c r="L191" s="29"/>
      <c r="M191" s="89"/>
      <c r="N191" s="29"/>
      <c r="O191" s="29"/>
      <c r="P191" s="29"/>
      <c r="Q191" s="29"/>
      <c r="R191" s="29"/>
      <c r="S191" s="29"/>
      <c r="T191" s="777">
        <f>30000/51166</f>
        <v>0.58632685767892745</v>
      </c>
      <c r="U191" s="398"/>
    </row>
    <row r="192" spans="1:21" ht="22.8">
      <c r="A192" s="270" t="s">
        <v>526</v>
      </c>
      <c r="B192" s="88" t="s">
        <v>530</v>
      </c>
      <c r="C192" s="88"/>
      <c r="D192" s="88"/>
      <c r="E192" s="88"/>
      <c r="F192" s="88"/>
      <c r="G192" s="29"/>
      <c r="H192" s="29"/>
      <c r="I192" s="903"/>
      <c r="J192" s="29"/>
      <c r="K192" s="29"/>
      <c r="L192" s="29"/>
      <c r="M192" s="36"/>
      <c r="N192" s="29"/>
      <c r="O192" s="29"/>
      <c r="P192" s="29"/>
      <c r="Q192" s="29"/>
      <c r="R192" s="29"/>
      <c r="S192" s="29"/>
      <c r="T192" s="237"/>
      <c r="U192" s="407"/>
    </row>
    <row r="193" spans="1:21" ht="23.4" thickBot="1">
      <c r="A193" s="271"/>
      <c r="B193" s="88"/>
      <c r="C193" s="88"/>
      <c r="D193" s="88"/>
      <c r="E193" s="88"/>
      <c r="F193" s="88"/>
      <c r="G193" s="29"/>
      <c r="H193" s="29"/>
      <c r="I193" s="903"/>
      <c r="J193" s="29"/>
      <c r="K193" s="29"/>
      <c r="L193" s="29"/>
      <c r="M193" s="36"/>
      <c r="N193" s="29"/>
      <c r="O193" s="29"/>
      <c r="P193" s="29"/>
      <c r="Q193" s="29"/>
      <c r="R193" s="29"/>
      <c r="S193" s="29"/>
      <c r="T193" s="237"/>
      <c r="U193" s="408"/>
    </row>
    <row r="194" spans="1:21" ht="24" thickTop="1" thickBot="1">
      <c r="A194" s="265" t="s">
        <v>484</v>
      </c>
      <c r="B194" s="38" t="s">
        <v>462</v>
      </c>
      <c r="C194" s="29"/>
      <c r="D194" s="29"/>
      <c r="E194" s="29"/>
      <c r="F194" s="29"/>
      <c r="G194" s="29"/>
      <c r="H194" s="29"/>
      <c r="I194" s="889">
        <f>sysdata!C152</f>
        <v>58.049535603715164</v>
      </c>
      <c r="J194" s="46"/>
      <c r="K194" s="175">
        <v>0.87227414330218067</v>
      </c>
      <c r="L194" s="29"/>
      <c r="M194" s="155">
        <f>+I194*K194</f>
        <v>50.635108937820078</v>
      </c>
      <c r="N194" s="29"/>
      <c r="O194" s="1001" t="s">
        <v>715</v>
      </c>
      <c r="P194" s="29"/>
      <c r="Q194" s="29"/>
      <c r="R194" s="29"/>
      <c r="S194" s="29"/>
      <c r="T194" s="237"/>
      <c r="U194" s="400"/>
    </row>
    <row r="195" spans="1:21" ht="20.25" customHeight="1" thickTop="1" thickBot="1">
      <c r="A195" s="46"/>
      <c r="B195" s="29"/>
      <c r="C195" s="29"/>
      <c r="D195" s="29"/>
      <c r="E195" s="29"/>
      <c r="F195" s="29"/>
      <c r="G195" s="29"/>
      <c r="H195" s="29"/>
      <c r="I195" s="905"/>
      <c r="J195" s="29"/>
      <c r="K195" s="29"/>
      <c r="L195" s="29"/>
      <c r="M195" s="89"/>
      <c r="N195" s="29"/>
      <c r="O195" s="1001" t="s">
        <v>716</v>
      </c>
      <c r="P195" s="29"/>
      <c r="Q195" s="29"/>
      <c r="R195" s="29"/>
      <c r="S195" s="29"/>
      <c r="T195" s="237"/>
      <c r="U195" s="398"/>
    </row>
    <row r="196" spans="1:21" ht="24" thickTop="1" thickBot="1">
      <c r="A196" s="265" t="s">
        <v>485</v>
      </c>
      <c r="B196" s="38" t="s">
        <v>465</v>
      </c>
      <c r="C196" s="35"/>
      <c r="D196" s="35"/>
      <c r="E196" s="35"/>
      <c r="F196" s="29"/>
      <c r="G196" s="29"/>
      <c r="H196" s="29"/>
      <c r="I196" s="904">
        <f>sysdata!C169</f>
        <v>0.97911227154046998</v>
      </c>
      <c r="J196" s="46"/>
      <c r="K196" s="158">
        <v>0.85</v>
      </c>
      <c r="L196" s="29"/>
      <c r="M196" s="174">
        <f>+I196*K196</f>
        <v>0.8322454308093995</v>
      </c>
      <c r="N196" s="29"/>
      <c r="O196" s="1001" t="s">
        <v>752</v>
      </c>
      <c r="P196" s="29"/>
      <c r="Q196" s="29"/>
      <c r="R196" s="29"/>
      <c r="S196" s="29"/>
      <c r="T196" s="237"/>
      <c r="U196" s="400"/>
    </row>
    <row r="197" spans="1:21" ht="24" thickTop="1" thickBot="1">
      <c r="A197" s="46"/>
      <c r="B197" s="29"/>
      <c r="C197" s="29"/>
      <c r="D197" s="29"/>
      <c r="E197" s="29"/>
      <c r="F197" s="29"/>
      <c r="G197" s="29"/>
      <c r="H197" s="29"/>
      <c r="I197" s="905"/>
      <c r="J197" s="29"/>
      <c r="K197" s="29"/>
      <c r="L197" s="29"/>
      <c r="M197" s="89"/>
      <c r="N197" s="29"/>
      <c r="O197" s="997"/>
      <c r="P197" s="29"/>
      <c r="Q197" s="29"/>
      <c r="R197" s="29"/>
      <c r="S197" s="29"/>
      <c r="T197" s="237"/>
      <c r="U197" s="398"/>
    </row>
    <row r="198" spans="1:21" ht="24" thickTop="1" thickBot="1">
      <c r="A198" s="767" t="s">
        <v>890</v>
      </c>
      <c r="B198" s="439" t="s">
        <v>891</v>
      </c>
      <c r="C198" s="439"/>
      <c r="D198" s="439"/>
      <c r="E198" s="439"/>
      <c r="F198" s="29"/>
      <c r="G198" s="29"/>
      <c r="H198" s="29"/>
      <c r="I198" s="904">
        <f>sysdata!C170</f>
        <v>7.0000000000000007E-2</v>
      </c>
      <c r="J198" s="29"/>
      <c r="K198" s="158">
        <v>0.85</v>
      </c>
      <c r="L198" s="29"/>
      <c r="M198" s="174">
        <f>+I198*K198</f>
        <v>5.9500000000000004E-2</v>
      </c>
      <c r="N198" s="29"/>
      <c r="O198" s="1001" t="s">
        <v>752</v>
      </c>
      <c r="P198" s="29"/>
      <c r="Q198" s="29"/>
      <c r="R198" s="29"/>
      <c r="S198" s="29"/>
      <c r="T198" s="237"/>
      <c r="U198" s="398"/>
    </row>
    <row r="199" spans="1:21" ht="24" thickTop="1" thickBot="1">
      <c r="A199" s="46"/>
      <c r="B199" s="29"/>
      <c r="C199" s="29"/>
      <c r="D199" s="29"/>
      <c r="E199" s="29"/>
      <c r="F199" s="29"/>
      <c r="G199" s="29"/>
      <c r="H199" s="29"/>
      <c r="I199" s="905"/>
      <c r="J199" s="29"/>
      <c r="K199" s="29"/>
      <c r="L199" s="29"/>
      <c r="M199" s="89"/>
      <c r="N199" s="29"/>
      <c r="O199" s="997"/>
      <c r="P199" s="29"/>
      <c r="Q199" s="29"/>
      <c r="R199" s="29"/>
      <c r="S199" s="29"/>
      <c r="T199" s="237"/>
      <c r="U199" s="398"/>
    </row>
    <row r="200" spans="1:21" ht="24" thickTop="1" thickBot="1">
      <c r="A200" s="265" t="s">
        <v>486</v>
      </c>
      <c r="B200" s="38" t="s">
        <v>468</v>
      </c>
      <c r="C200" s="29"/>
      <c r="D200" s="29"/>
      <c r="E200" s="29"/>
      <c r="F200" s="29"/>
      <c r="G200" s="29"/>
      <c r="H200" s="29"/>
      <c r="I200" s="904">
        <f>sysdata!J66</f>
        <v>1.1427777777777779</v>
      </c>
      <c r="J200" s="46"/>
      <c r="K200" s="180">
        <f>0.8*0.79+0.2*0.9</f>
        <v>0.81200000000000017</v>
      </c>
      <c r="L200" s="29"/>
      <c r="M200" s="174">
        <f>+I200*K200</f>
        <v>0.92793555555555585</v>
      </c>
      <c r="N200" s="29"/>
      <c r="O200" s="1001" t="s">
        <v>753</v>
      </c>
      <c r="P200" s="29"/>
      <c r="Q200" s="29"/>
      <c r="R200" s="29"/>
      <c r="S200" s="29"/>
      <c r="T200" s="237"/>
      <c r="U200" s="400"/>
    </row>
    <row r="201" spans="1:21" ht="24" thickTop="1" thickBot="1">
      <c r="A201" s="46"/>
      <c r="B201" s="29"/>
      <c r="C201" s="29"/>
      <c r="D201" s="29"/>
      <c r="E201" s="29"/>
      <c r="F201" s="29"/>
      <c r="G201" s="29"/>
      <c r="H201" s="29"/>
      <c r="I201" s="905"/>
      <c r="J201" s="29"/>
      <c r="K201" s="176"/>
      <c r="L201" s="29"/>
      <c r="M201" s="177"/>
      <c r="N201" s="29"/>
      <c r="O201" s="1001" t="s">
        <v>754</v>
      </c>
      <c r="P201" s="29"/>
      <c r="Q201" s="29"/>
      <c r="R201" s="29"/>
      <c r="S201" s="29"/>
      <c r="T201" s="237"/>
      <c r="U201" s="398"/>
    </row>
    <row r="202" spans="1:21" ht="24" thickTop="1" thickBot="1">
      <c r="A202" s="265" t="s">
        <v>492</v>
      </c>
      <c r="B202" s="38" t="s">
        <v>77</v>
      </c>
      <c r="C202" s="29"/>
      <c r="D202" s="29"/>
      <c r="E202" s="29"/>
      <c r="F202" s="29"/>
      <c r="G202" s="29"/>
      <c r="H202" s="29"/>
      <c r="I202" s="904">
        <f>sysdata!J100</f>
        <v>0.13530927835051548</v>
      </c>
      <c r="J202" s="46"/>
      <c r="K202" s="180">
        <f>0.5*0.79+0.5*0.9</f>
        <v>0.84499999999999997</v>
      </c>
      <c r="L202" s="29"/>
      <c r="M202" s="174">
        <f>+I202*K202</f>
        <v>0.11433634020618558</v>
      </c>
      <c r="N202" s="29"/>
      <c r="O202" s="1001" t="s">
        <v>786</v>
      </c>
      <c r="P202" s="29"/>
      <c r="Q202" s="29"/>
      <c r="R202" s="29"/>
      <c r="S202" s="29"/>
      <c r="T202" s="237"/>
      <c r="U202" s="400"/>
    </row>
    <row r="203" spans="1:21" ht="24" thickTop="1" thickBot="1">
      <c r="A203" s="46"/>
      <c r="B203" s="29"/>
      <c r="C203" s="29"/>
      <c r="D203" s="29"/>
      <c r="E203" s="29"/>
      <c r="F203" s="29"/>
      <c r="G203" s="29"/>
      <c r="H203" s="29"/>
      <c r="I203" s="905"/>
      <c r="J203" s="29"/>
      <c r="K203" s="176"/>
      <c r="L203" s="29"/>
      <c r="M203" s="177"/>
      <c r="N203" s="29"/>
      <c r="O203" s="1001" t="s">
        <v>785</v>
      </c>
      <c r="P203" s="29"/>
      <c r="Q203" s="29"/>
      <c r="R203" s="29"/>
      <c r="S203" s="29"/>
      <c r="T203" s="237"/>
      <c r="U203" s="398"/>
    </row>
    <row r="204" spans="1:21" ht="24" thickTop="1" thickBot="1">
      <c r="A204" s="265" t="s">
        <v>494</v>
      </c>
      <c r="B204" s="38" t="s">
        <v>471</v>
      </c>
      <c r="C204" s="29"/>
      <c r="D204" s="29"/>
      <c r="E204" s="29"/>
      <c r="F204" s="29"/>
      <c r="G204" s="29"/>
      <c r="H204" s="29"/>
      <c r="I204" s="945">
        <f>sysdata!F53</f>
        <v>4.6651846939235042E-4</v>
      </c>
      <c r="J204" s="46"/>
      <c r="K204" s="180">
        <f>0.5*0.79+0.5*0.9</f>
        <v>0.84499999999999997</v>
      </c>
      <c r="L204" s="29"/>
      <c r="M204" s="178">
        <f>+I204*K204</f>
        <v>3.9420810663653609E-4</v>
      </c>
      <c r="N204" s="29"/>
      <c r="O204" s="1001" t="s">
        <v>774</v>
      </c>
      <c r="P204" s="29"/>
      <c r="Q204" s="29"/>
      <c r="R204" s="29"/>
      <c r="S204" s="29"/>
      <c r="T204" s="237"/>
      <c r="U204" s="400"/>
    </row>
    <row r="205" spans="1:21" ht="24" thickTop="1" thickBot="1">
      <c r="A205" s="46"/>
      <c r="B205" s="29"/>
      <c r="C205" s="29"/>
      <c r="D205" s="29"/>
      <c r="E205" s="29"/>
      <c r="F205" s="29"/>
      <c r="G205" s="29"/>
      <c r="H205" s="29"/>
      <c r="I205" s="905"/>
      <c r="J205" s="29"/>
      <c r="K205" s="176"/>
      <c r="L205" s="29"/>
      <c r="M205" s="177"/>
      <c r="N205" s="29"/>
      <c r="O205" s="1001" t="s">
        <v>775</v>
      </c>
      <c r="P205" s="29"/>
      <c r="Q205" s="29"/>
      <c r="R205" s="29"/>
      <c r="S205" s="29"/>
      <c r="T205" s="237"/>
      <c r="U205" s="398"/>
    </row>
    <row r="206" spans="1:21" ht="24" thickTop="1" thickBot="1">
      <c r="A206" s="265" t="s">
        <v>495</v>
      </c>
      <c r="B206" s="38" t="s">
        <v>680</v>
      </c>
      <c r="C206" s="29"/>
      <c r="D206" s="29"/>
      <c r="E206" s="29"/>
      <c r="F206" s="29"/>
      <c r="G206" s="29"/>
      <c r="H206" s="29"/>
      <c r="I206" s="889">
        <f>sysdata!F52</f>
        <v>4901.333333333333</v>
      </c>
      <c r="J206" s="46"/>
      <c r="K206" s="180">
        <v>0.9</v>
      </c>
      <c r="L206" s="29"/>
      <c r="M206" s="179">
        <f>+I206*K206</f>
        <v>4411.2</v>
      </c>
      <c r="N206" s="29"/>
      <c r="O206" s="1001" t="s">
        <v>755</v>
      </c>
      <c r="P206" s="29"/>
      <c r="Q206" s="29"/>
      <c r="R206" s="29"/>
      <c r="S206" s="29"/>
      <c r="T206" s="237"/>
      <c r="U206" s="400"/>
    </row>
    <row r="207" spans="1:21" ht="24" thickTop="1" thickBot="1">
      <c r="A207" s="46"/>
      <c r="B207" s="29"/>
      <c r="C207" s="29"/>
      <c r="D207" s="29"/>
      <c r="E207" s="29"/>
      <c r="F207" s="29"/>
      <c r="G207" s="29"/>
      <c r="H207" s="29"/>
      <c r="I207" s="905"/>
      <c r="J207" s="29"/>
      <c r="K207" s="176"/>
      <c r="L207" s="29"/>
      <c r="M207" s="177"/>
      <c r="N207" s="29"/>
      <c r="O207" s="1001" t="s">
        <v>756</v>
      </c>
      <c r="P207" s="29"/>
      <c r="Q207" s="29"/>
      <c r="R207" s="29"/>
      <c r="S207" s="29"/>
      <c r="T207" s="237"/>
      <c r="U207" s="398"/>
    </row>
    <row r="208" spans="1:21" ht="24" thickTop="1" thickBot="1">
      <c r="A208" s="265" t="s">
        <v>497</v>
      </c>
      <c r="B208" s="38" t="s">
        <v>64</v>
      </c>
      <c r="C208" s="29"/>
      <c r="D208" s="29"/>
      <c r="E208" s="29"/>
      <c r="F208" s="29"/>
      <c r="G208" s="29"/>
      <c r="H208" s="29"/>
      <c r="I208" s="889">
        <f>sysdata!I180</f>
        <v>2976</v>
      </c>
      <c r="J208" s="46"/>
      <c r="K208" s="180">
        <v>0.87227414330218067</v>
      </c>
      <c r="L208" s="29"/>
      <c r="M208" s="179">
        <f>+I208*K208</f>
        <v>2595.8878504672898</v>
      </c>
      <c r="N208" s="29"/>
      <c r="O208" s="1001" t="s">
        <v>715</v>
      </c>
      <c r="P208" s="29"/>
      <c r="Q208" s="29"/>
      <c r="R208" s="29"/>
      <c r="S208" s="29"/>
      <c r="T208" s="237"/>
      <c r="U208" s="400"/>
    </row>
    <row r="209" spans="1:21" ht="24" thickTop="1" thickBot="1">
      <c r="A209" s="46"/>
      <c r="B209" s="29"/>
      <c r="C209" s="29"/>
      <c r="D209" s="29"/>
      <c r="E209" s="29"/>
      <c r="F209" s="29"/>
      <c r="G209" s="29"/>
      <c r="H209" s="29"/>
      <c r="I209" s="905"/>
      <c r="J209" s="29"/>
      <c r="K209" s="176"/>
      <c r="L209" s="29"/>
      <c r="M209" s="177"/>
      <c r="N209" s="29"/>
      <c r="O209" s="1001" t="s">
        <v>716</v>
      </c>
      <c r="P209" s="29"/>
      <c r="Q209" s="29"/>
      <c r="R209" s="29"/>
      <c r="S209" s="29"/>
      <c r="T209" s="237"/>
      <c r="U209" s="398"/>
    </row>
    <row r="210" spans="1:21" ht="24" thickTop="1" thickBot="1">
      <c r="A210" s="265" t="s">
        <v>499</v>
      </c>
      <c r="B210" s="38" t="s">
        <v>475</v>
      </c>
      <c r="C210" s="29"/>
      <c r="D210" s="29"/>
      <c r="E210" s="29"/>
      <c r="F210" s="29"/>
      <c r="G210" s="29"/>
      <c r="H210" s="29"/>
      <c r="I210" s="904"/>
      <c r="J210" s="46"/>
      <c r="K210" s="180">
        <f>0.8*(7000/8025)+0.2*0.9</f>
        <v>0.87781931464174467</v>
      </c>
      <c r="L210" s="29"/>
      <c r="M210" s="174">
        <f>+I210*K210</f>
        <v>0</v>
      </c>
      <c r="N210" s="29"/>
      <c r="O210" s="1001" t="s">
        <v>757</v>
      </c>
      <c r="P210" s="29"/>
      <c r="Q210" s="29"/>
      <c r="R210" s="29"/>
      <c r="S210" s="29"/>
      <c r="T210" s="237"/>
      <c r="U210" s="400"/>
    </row>
    <row r="211" spans="1:21" ht="24" thickTop="1" thickBot="1">
      <c r="A211" s="266"/>
      <c r="B211" s="38"/>
      <c r="C211" s="29"/>
      <c r="D211" s="29"/>
      <c r="E211" s="29"/>
      <c r="F211" s="29"/>
      <c r="G211" s="29"/>
      <c r="H211" s="29"/>
      <c r="I211" s="914"/>
      <c r="J211" s="91"/>
      <c r="K211" s="182"/>
      <c r="L211" s="29"/>
      <c r="M211" s="174"/>
      <c r="N211" s="29"/>
      <c r="O211" s="1001" t="s">
        <v>758</v>
      </c>
      <c r="P211" s="29"/>
      <c r="Q211" s="29"/>
      <c r="R211" s="29"/>
      <c r="S211" s="29"/>
      <c r="T211" s="237"/>
      <c r="U211" s="401"/>
    </row>
    <row r="212" spans="1:21" ht="24" thickTop="1" thickBot="1">
      <c r="A212" s="265" t="s">
        <v>501</v>
      </c>
      <c r="B212" s="38" t="s">
        <v>84</v>
      </c>
      <c r="C212" s="29"/>
      <c r="D212" s="29"/>
      <c r="E212" s="29"/>
      <c r="F212" s="29"/>
      <c r="G212" s="29"/>
      <c r="H212" s="29"/>
      <c r="I212" s="912"/>
      <c r="J212" s="46"/>
      <c r="K212" s="180">
        <v>0.87227414330218067</v>
      </c>
      <c r="L212" s="29"/>
      <c r="M212" s="179">
        <f>+I212*K212</f>
        <v>0</v>
      </c>
      <c r="N212" s="29"/>
      <c r="O212" s="1001" t="s">
        <v>715</v>
      </c>
      <c r="P212" s="29"/>
      <c r="Q212" s="29"/>
      <c r="R212" s="29"/>
      <c r="S212" s="29"/>
      <c r="T212" s="237"/>
      <c r="U212" s="400"/>
    </row>
    <row r="213" spans="1:21" ht="24" thickTop="1" thickBot="1">
      <c r="A213" s="266"/>
      <c r="B213" s="38"/>
      <c r="C213" s="29"/>
      <c r="D213" s="29"/>
      <c r="E213" s="29"/>
      <c r="F213" s="29"/>
      <c r="G213" s="29"/>
      <c r="H213" s="29"/>
      <c r="I213" s="914"/>
      <c r="J213" s="91"/>
      <c r="K213" s="182"/>
      <c r="L213" s="29"/>
      <c r="M213" s="174"/>
      <c r="N213" s="29"/>
      <c r="O213" s="1001" t="s">
        <v>716</v>
      </c>
      <c r="P213" s="29"/>
      <c r="Q213" s="29"/>
      <c r="R213" s="29"/>
      <c r="S213" s="29"/>
      <c r="T213" s="237"/>
      <c r="U213" s="401"/>
    </row>
    <row r="214" spans="1:21" ht="24" thickTop="1" thickBot="1">
      <c r="A214" s="264" t="s">
        <v>503</v>
      </c>
      <c r="B214" s="438" t="s">
        <v>574</v>
      </c>
      <c r="C214" s="29"/>
      <c r="D214" s="29"/>
      <c r="E214" s="29"/>
      <c r="F214" s="29"/>
      <c r="G214" s="29"/>
      <c r="H214" s="29"/>
      <c r="I214" s="912"/>
      <c r="J214" s="29"/>
      <c r="K214" s="180">
        <v>0.9</v>
      </c>
      <c r="L214" s="29"/>
      <c r="M214" s="174">
        <f>+I214*K214</f>
        <v>0</v>
      </c>
      <c r="N214" s="29"/>
      <c r="O214" s="1001" t="s">
        <v>759</v>
      </c>
      <c r="P214" s="29"/>
      <c r="Q214" s="29"/>
      <c r="R214" s="29"/>
      <c r="S214" s="29"/>
      <c r="T214" s="237"/>
      <c r="U214" s="399"/>
    </row>
    <row r="215" spans="1:21" ht="24" thickTop="1" thickBot="1">
      <c r="A215" s="264"/>
      <c r="B215" s="219"/>
      <c r="C215" s="29"/>
      <c r="D215" s="29"/>
      <c r="E215" s="29"/>
      <c r="F215" s="29"/>
      <c r="G215" s="29"/>
      <c r="H215" s="29"/>
      <c r="I215" s="921"/>
      <c r="J215" s="29"/>
      <c r="K215" s="464"/>
      <c r="L215" s="29"/>
      <c r="M215" s="174"/>
      <c r="N215" s="29"/>
      <c r="O215" s="1001"/>
      <c r="P215" s="29"/>
      <c r="Q215" s="29"/>
      <c r="R215" s="29"/>
      <c r="S215" s="29"/>
      <c r="T215" s="237"/>
      <c r="U215" s="399"/>
    </row>
    <row r="216" spans="1:21" ht="24" thickTop="1" thickBot="1">
      <c r="A216" s="264" t="s">
        <v>23</v>
      </c>
      <c r="B216" s="439" t="s">
        <v>575</v>
      </c>
      <c r="C216" s="29"/>
      <c r="D216" s="29"/>
      <c r="E216" s="29"/>
      <c r="F216" s="29"/>
      <c r="G216" s="29"/>
      <c r="H216" s="29"/>
      <c r="I216" s="922"/>
      <c r="J216" s="29"/>
      <c r="K216" s="180">
        <v>0.9</v>
      </c>
      <c r="L216" s="29"/>
      <c r="M216" s="174">
        <f>+I216*K216</f>
        <v>0</v>
      </c>
      <c r="N216" s="29"/>
      <c r="O216" s="1001" t="s">
        <v>759</v>
      </c>
      <c r="P216" s="29"/>
      <c r="Q216" s="29"/>
      <c r="R216" s="29"/>
      <c r="S216" s="29"/>
      <c r="T216" s="237"/>
      <c r="U216" s="399"/>
    </row>
    <row r="217" spans="1:21" ht="24" thickTop="1" thickBot="1">
      <c r="A217" s="264"/>
      <c r="B217" s="219"/>
      <c r="C217" s="29"/>
      <c r="D217" s="29"/>
      <c r="E217" s="29"/>
      <c r="F217" s="29"/>
      <c r="G217" s="29"/>
      <c r="H217" s="29"/>
      <c r="I217" s="921"/>
      <c r="J217" s="285"/>
      <c r="K217" s="286"/>
      <c r="L217" s="29"/>
      <c r="M217" s="174"/>
      <c r="N217" s="29"/>
      <c r="O217" s="997"/>
      <c r="P217" s="29"/>
      <c r="Q217" s="29"/>
      <c r="R217" s="29"/>
      <c r="S217" s="29"/>
      <c r="T217" s="237"/>
      <c r="U217" s="399"/>
    </row>
    <row r="218" spans="1:21" ht="23.4" thickTop="1">
      <c r="A218" s="278" t="s">
        <v>156</v>
      </c>
      <c r="B218" s="279"/>
      <c r="C218" s="279"/>
      <c r="D218" s="279"/>
      <c r="E218" s="279"/>
      <c r="F218" s="279"/>
      <c r="G218" s="279"/>
      <c r="H218" s="279"/>
      <c r="I218" s="911"/>
      <c r="J218" s="281"/>
      <c r="K218" s="282"/>
      <c r="L218" s="282"/>
      <c r="M218" s="282"/>
      <c r="N218" s="282"/>
      <c r="O218" s="1002"/>
      <c r="P218" s="282"/>
      <c r="Q218" s="282"/>
      <c r="R218" s="282"/>
      <c r="S218" s="282"/>
      <c r="T218" s="283"/>
      <c r="U218" s="387"/>
    </row>
    <row r="219" spans="1:21">
      <c r="A219" s="268"/>
      <c r="B219" s="28"/>
      <c r="C219" s="28"/>
      <c r="D219" s="28"/>
      <c r="E219" s="28"/>
      <c r="F219" s="28"/>
      <c r="G219" s="28"/>
      <c r="H219" s="28"/>
      <c r="I219" s="918"/>
      <c r="J219" s="28"/>
      <c r="K219" s="28"/>
      <c r="L219" s="28"/>
      <c r="M219" s="28"/>
      <c r="N219" s="28"/>
      <c r="O219" s="1003"/>
      <c r="P219" s="28"/>
      <c r="Q219" s="28"/>
      <c r="R219" s="28"/>
      <c r="S219" s="47"/>
      <c r="T219" s="237"/>
      <c r="U219" s="406"/>
    </row>
    <row r="220" spans="1:21" ht="22.8">
      <c r="A220" s="263" t="s">
        <v>459</v>
      </c>
      <c r="B220" s="34" t="s">
        <v>158</v>
      </c>
      <c r="C220" s="29"/>
      <c r="D220" s="29"/>
      <c r="E220" s="29"/>
      <c r="F220" s="29"/>
      <c r="G220" s="29"/>
      <c r="H220" s="29"/>
      <c r="I220" s="903"/>
      <c r="J220" s="29"/>
      <c r="K220" s="29"/>
      <c r="L220" s="29"/>
      <c r="M220" s="29"/>
      <c r="N220" s="29"/>
      <c r="P220" s="29"/>
      <c r="Q220" s="29"/>
      <c r="R220" s="29"/>
      <c r="S220" s="29"/>
      <c r="T220" s="237"/>
      <c r="U220" s="397"/>
    </row>
    <row r="221" spans="1:21" ht="22.8">
      <c r="A221" s="263"/>
      <c r="B221" s="34"/>
      <c r="C221" s="29"/>
      <c r="D221" s="29"/>
      <c r="E221" s="29"/>
      <c r="F221" s="29"/>
      <c r="G221" s="29"/>
      <c r="H221" s="29"/>
      <c r="I221" s="903"/>
      <c r="J221" s="29"/>
      <c r="K221" s="29"/>
      <c r="L221" s="29"/>
      <c r="M221" s="29"/>
      <c r="N221" s="29"/>
      <c r="O221" s="997"/>
      <c r="P221" s="29"/>
      <c r="Q221" s="29"/>
      <c r="R221" s="29"/>
      <c r="S221" s="29"/>
      <c r="T221" s="237"/>
      <c r="U221" s="397"/>
    </row>
    <row r="222" spans="1:21" ht="22.8">
      <c r="A222" s="270" t="s">
        <v>527</v>
      </c>
      <c r="B222" s="88" t="s">
        <v>531</v>
      </c>
      <c r="C222" s="29"/>
      <c r="D222" s="29"/>
      <c r="E222" s="29"/>
      <c r="F222" s="29"/>
      <c r="G222" s="29"/>
      <c r="H222" s="29"/>
      <c r="I222" s="901"/>
      <c r="J222" s="29"/>
      <c r="K222" s="29"/>
      <c r="L222" s="29"/>
      <c r="M222" s="89"/>
      <c r="N222" s="29"/>
      <c r="O222" s="997"/>
      <c r="P222" s="29"/>
      <c r="Q222" s="29"/>
      <c r="R222" s="29"/>
      <c r="S222" s="29"/>
      <c r="T222" s="237"/>
      <c r="U222" s="407"/>
    </row>
    <row r="223" spans="1:21" ht="22.8">
      <c r="A223" s="264"/>
      <c r="B223" s="87"/>
      <c r="C223" s="29"/>
      <c r="D223" s="29"/>
      <c r="E223" s="29"/>
      <c r="F223" s="29"/>
      <c r="G223" s="29"/>
      <c r="H223" s="29"/>
      <c r="I223" s="901"/>
      <c r="J223" s="29"/>
      <c r="K223" s="29"/>
      <c r="L223" s="29"/>
      <c r="M223" s="89"/>
      <c r="N223" s="29"/>
      <c r="O223" s="997"/>
      <c r="P223" s="29"/>
      <c r="Q223" s="29"/>
      <c r="R223" s="29"/>
      <c r="S223" s="29"/>
      <c r="T223" s="237"/>
      <c r="U223" s="399"/>
    </row>
    <row r="224" spans="1:21" ht="22.8">
      <c r="A224" s="264" t="s">
        <v>528</v>
      </c>
      <c r="B224" s="88" t="s">
        <v>529</v>
      </c>
      <c r="C224" s="29"/>
      <c r="D224" s="29"/>
      <c r="E224" s="29"/>
      <c r="F224" s="29"/>
      <c r="G224" s="29"/>
      <c r="H224" s="29"/>
      <c r="I224" s="901"/>
      <c r="J224" s="29"/>
      <c r="K224" s="29"/>
      <c r="L224" s="29"/>
      <c r="M224" s="89"/>
      <c r="N224" s="29"/>
      <c r="O224" s="997"/>
      <c r="P224" s="29"/>
      <c r="Q224" s="29"/>
      <c r="R224" s="29"/>
      <c r="S224" s="29"/>
      <c r="T224" s="237"/>
      <c r="U224" s="399"/>
    </row>
    <row r="225" spans="1:21" ht="22.8">
      <c r="A225" s="264"/>
      <c r="B225" s="87"/>
      <c r="C225" s="29"/>
      <c r="D225" s="29"/>
      <c r="E225" s="29"/>
      <c r="F225" s="29"/>
      <c r="G225" s="29"/>
      <c r="H225" s="29"/>
      <c r="I225" s="901"/>
      <c r="J225" s="29"/>
      <c r="K225" s="29"/>
      <c r="L225" s="29"/>
      <c r="M225" s="89"/>
      <c r="N225" s="29"/>
      <c r="O225" s="997"/>
      <c r="P225" s="29"/>
      <c r="Q225" s="29"/>
      <c r="R225" s="29"/>
      <c r="S225" s="29"/>
      <c r="T225" s="237"/>
      <c r="U225" s="399"/>
    </row>
    <row r="226" spans="1:21" ht="22.8">
      <c r="A226" s="264" t="s">
        <v>504</v>
      </c>
      <c r="B226" s="88" t="s">
        <v>96</v>
      </c>
      <c r="C226" s="29"/>
      <c r="D226" s="29"/>
      <c r="E226" s="29"/>
      <c r="F226" s="29"/>
      <c r="G226" s="29"/>
      <c r="H226" s="29"/>
      <c r="I226" s="901"/>
      <c r="J226" s="29"/>
      <c r="K226" s="29"/>
      <c r="L226" s="29"/>
      <c r="M226" s="89"/>
      <c r="N226" s="29"/>
      <c r="O226" s="776" t="s">
        <v>348</v>
      </c>
      <c r="P226" s="29"/>
      <c r="Q226" s="29"/>
      <c r="R226" s="29"/>
      <c r="S226" s="29"/>
      <c r="T226" s="237"/>
      <c r="U226" s="399"/>
    </row>
    <row r="227" spans="1:21" ht="23.4" thickBot="1">
      <c r="A227" s="270"/>
      <c r="B227" s="87"/>
      <c r="C227" s="29"/>
      <c r="D227" s="29"/>
      <c r="E227" s="29"/>
      <c r="F227" s="29"/>
      <c r="G227" s="29"/>
      <c r="H227" s="29"/>
      <c r="I227" s="901"/>
      <c r="J227" s="29"/>
      <c r="K227" s="29"/>
      <c r="L227" s="29"/>
      <c r="M227" s="89"/>
      <c r="N227" s="29"/>
      <c r="O227" s="997"/>
      <c r="P227" s="29"/>
      <c r="Q227" s="29"/>
      <c r="R227" s="29"/>
      <c r="S227" s="29"/>
      <c r="T227" s="237"/>
      <c r="U227" s="407"/>
    </row>
    <row r="228" spans="1:21" ht="24" thickTop="1" thickBot="1">
      <c r="A228" s="264" t="s">
        <v>145</v>
      </c>
      <c r="B228" s="439" t="s">
        <v>699</v>
      </c>
      <c r="C228" s="29"/>
      <c r="D228" s="29"/>
      <c r="E228" s="29"/>
      <c r="F228" s="29"/>
      <c r="G228" s="29"/>
      <c r="H228" s="29"/>
      <c r="I228" s="936">
        <f>sysdata!I189*1000000</f>
        <v>2216389712</v>
      </c>
      <c r="J228" s="29"/>
      <c r="K228" s="158">
        <f>0.85*0.4+0.9*0.6</f>
        <v>0.88000000000000012</v>
      </c>
      <c r="L228" s="29"/>
      <c r="M228" s="711">
        <f>+I228*K228</f>
        <v>1950422946.5600002</v>
      </c>
      <c r="N228" s="29"/>
      <c r="O228" s="1001" t="s">
        <v>777</v>
      </c>
      <c r="P228" s="774"/>
      <c r="Q228" s="774"/>
      <c r="R228" s="774"/>
      <c r="S228" s="774"/>
      <c r="T228" s="775"/>
      <c r="U228" s="770"/>
    </row>
    <row r="229" spans="1:21" ht="23.4" thickTop="1">
      <c r="A229" s="270"/>
      <c r="B229" s="186" t="s">
        <v>92</v>
      </c>
      <c r="C229" s="187"/>
      <c r="D229" s="187"/>
      <c r="E229" s="187"/>
      <c r="F229" s="187"/>
      <c r="G229" s="187"/>
      <c r="H229" s="187"/>
      <c r="I229" s="901"/>
      <c r="J229" s="29"/>
      <c r="K229" s="29"/>
      <c r="L229" s="29"/>
      <c r="M229" s="89"/>
      <c r="N229" s="29"/>
      <c r="O229" s="1001" t="s">
        <v>776</v>
      </c>
      <c r="P229" s="771"/>
      <c r="Q229" s="771"/>
      <c r="R229" s="771"/>
      <c r="S229" s="771"/>
      <c r="T229" s="772"/>
      <c r="U229" s="773"/>
    </row>
    <row r="230" spans="1:21" ht="22.8">
      <c r="A230" s="264"/>
      <c r="B230" s="188" t="s">
        <v>274</v>
      </c>
      <c r="C230" s="58"/>
      <c r="D230" s="58"/>
      <c r="E230" s="189"/>
      <c r="F230" s="190"/>
      <c r="G230" s="191"/>
      <c r="H230" s="189"/>
      <c r="I230" s="923"/>
      <c r="J230" s="29"/>
      <c r="K230" s="30"/>
      <c r="L230" s="29"/>
      <c r="M230" s="30"/>
      <c r="N230" s="30"/>
      <c r="O230" s="1004"/>
      <c r="P230" s="30"/>
      <c r="Q230" s="29"/>
      <c r="R230" s="29"/>
      <c r="S230" s="29"/>
      <c r="T230" s="237"/>
      <c r="U230" s="399"/>
    </row>
    <row r="231" spans="1:21" ht="22.8">
      <c r="A231" s="270"/>
      <c r="B231" s="186" t="s">
        <v>93</v>
      </c>
      <c r="C231" s="187"/>
      <c r="D231" s="187"/>
      <c r="E231" s="187"/>
      <c r="F231" s="187"/>
      <c r="G231" s="187"/>
      <c r="H231" s="187"/>
      <c r="I231" s="901"/>
      <c r="J231" s="29"/>
      <c r="K231" s="29"/>
      <c r="L231" s="29"/>
      <c r="M231" s="89"/>
      <c r="N231" s="29"/>
      <c r="O231" s="997"/>
      <c r="P231" s="29"/>
      <c r="Q231" s="29"/>
      <c r="R231" s="29"/>
      <c r="S231" s="29"/>
      <c r="T231" s="237"/>
      <c r="U231" s="407"/>
    </row>
    <row r="232" spans="1:21" ht="23.4" thickBot="1">
      <c r="A232" s="270"/>
      <c r="B232" s="87"/>
      <c r="C232" s="29"/>
      <c r="D232" s="29"/>
      <c r="E232" s="29"/>
      <c r="F232" s="29"/>
      <c r="G232" s="29"/>
      <c r="H232" s="29"/>
      <c r="I232" s="901"/>
      <c r="J232" s="29"/>
      <c r="K232" s="29"/>
      <c r="L232" s="29"/>
      <c r="M232" s="89"/>
      <c r="N232" s="29"/>
      <c r="O232" s="997"/>
      <c r="P232" s="29"/>
      <c r="Q232" s="29"/>
      <c r="R232" s="29"/>
      <c r="S232" s="29"/>
      <c r="T232" s="237"/>
      <c r="U232" s="407"/>
    </row>
    <row r="233" spans="1:21" ht="24" thickTop="1" thickBot="1">
      <c r="A233" s="264" t="s">
        <v>148</v>
      </c>
      <c r="B233" s="87" t="s">
        <v>275</v>
      </c>
      <c r="C233" s="29"/>
      <c r="D233" s="29"/>
      <c r="E233" s="29"/>
      <c r="F233" s="29"/>
      <c r="G233" s="29"/>
      <c r="H233" s="29"/>
      <c r="I233" s="937">
        <f>+I228*I180</f>
        <v>934737060.55466902</v>
      </c>
      <c r="J233" s="29"/>
      <c r="K233" s="158">
        <f>0.85*0.4+0.9*0.6</f>
        <v>0.88000000000000012</v>
      </c>
      <c r="L233" s="29"/>
      <c r="M233" s="711">
        <f>+I233*K233</f>
        <v>822568613.28810883</v>
      </c>
      <c r="N233" s="29"/>
      <c r="O233" s="1001" t="s">
        <v>777</v>
      </c>
      <c r="P233" s="29"/>
      <c r="Q233" s="29"/>
      <c r="R233" s="29"/>
      <c r="S233" s="29"/>
      <c r="T233" s="237"/>
      <c r="U233" s="399"/>
    </row>
    <row r="234" spans="1:21" ht="24" thickTop="1" thickBot="1">
      <c r="A234" s="270"/>
      <c r="B234" s="87"/>
      <c r="C234" s="29"/>
      <c r="D234" s="29"/>
      <c r="E234" s="29"/>
      <c r="F234" s="29"/>
      <c r="G234" s="29"/>
      <c r="H234" s="29"/>
      <c r="I234" s="901"/>
      <c r="J234" s="29"/>
      <c r="K234" s="29"/>
      <c r="L234" s="29"/>
      <c r="M234" s="89"/>
      <c r="N234" s="29"/>
      <c r="O234" s="1001" t="s">
        <v>776</v>
      </c>
      <c r="P234" s="29"/>
      <c r="Q234" s="29"/>
      <c r="R234" s="29"/>
      <c r="S234" s="29"/>
      <c r="T234" s="237"/>
      <c r="U234" s="407"/>
    </row>
    <row r="235" spans="1:21" ht="24" thickTop="1" thickBot="1">
      <c r="A235" s="265" t="s">
        <v>149</v>
      </c>
      <c r="B235" s="38" t="s">
        <v>94</v>
      </c>
      <c r="C235" s="29"/>
      <c r="D235" s="29"/>
      <c r="E235" s="29"/>
      <c r="F235" s="29"/>
      <c r="G235" s="29"/>
      <c r="H235" s="29"/>
      <c r="I235" s="934">
        <v>50</v>
      </c>
      <c r="J235" s="29"/>
      <c r="K235" s="29"/>
      <c r="L235" s="29"/>
      <c r="M235" s="179">
        <f>+I235</f>
        <v>50</v>
      </c>
      <c r="N235" s="29"/>
      <c r="O235" s="1001" t="s">
        <v>711</v>
      </c>
      <c r="P235" s="774"/>
      <c r="Q235" s="774"/>
      <c r="R235" s="774"/>
      <c r="S235" s="774"/>
      <c r="T235" s="775"/>
      <c r="U235" s="400"/>
    </row>
    <row r="236" spans="1:21" ht="24" thickTop="1" thickBot="1">
      <c r="A236" s="46"/>
      <c r="B236" s="29"/>
      <c r="C236" s="29"/>
      <c r="D236" s="29"/>
      <c r="E236" s="29"/>
      <c r="F236" s="29"/>
      <c r="G236" s="29"/>
      <c r="H236" s="29"/>
      <c r="I236" s="905"/>
      <c r="J236" s="29"/>
      <c r="K236" s="29"/>
      <c r="L236" s="29"/>
      <c r="M236" s="89"/>
      <c r="N236" s="29"/>
      <c r="O236" s="997"/>
      <c r="P236" s="29"/>
      <c r="Q236" s="29"/>
      <c r="R236" s="29"/>
      <c r="S236" s="29"/>
      <c r="T236" s="237"/>
      <c r="U236" s="398"/>
    </row>
    <row r="237" spans="1:21" ht="24" thickTop="1" thickBot="1">
      <c r="A237" s="265" t="s">
        <v>150</v>
      </c>
      <c r="B237" s="38" t="s">
        <v>95</v>
      </c>
      <c r="C237" s="29"/>
      <c r="D237" s="29"/>
      <c r="E237" s="29"/>
      <c r="F237" s="29"/>
      <c r="G237" s="29"/>
      <c r="H237" s="29"/>
      <c r="I237" s="935">
        <v>0.1</v>
      </c>
      <c r="J237" s="29"/>
      <c r="K237" s="29"/>
      <c r="L237" s="29"/>
      <c r="M237" s="192">
        <f>+I237</f>
        <v>0.1</v>
      </c>
      <c r="N237" s="29"/>
      <c r="O237" s="1001" t="s">
        <v>712</v>
      </c>
      <c r="P237" s="29"/>
      <c r="Q237" s="29"/>
      <c r="R237" s="29"/>
      <c r="S237" s="29"/>
      <c r="T237" s="237"/>
      <c r="U237" s="400"/>
    </row>
    <row r="238" spans="1:21" ht="24" thickTop="1" thickBot="1">
      <c r="A238" s="265"/>
      <c r="B238" s="38"/>
      <c r="C238" s="29"/>
      <c r="D238" s="29"/>
      <c r="E238" s="29"/>
      <c r="F238" s="29"/>
      <c r="G238" s="29"/>
      <c r="H238" s="29"/>
      <c r="I238" s="1506"/>
      <c r="J238" s="29"/>
      <c r="K238" s="29"/>
      <c r="L238" s="29"/>
      <c r="M238" s="192"/>
      <c r="N238" s="29"/>
      <c r="O238" s="1001"/>
      <c r="P238" s="29"/>
      <c r="Q238" s="29"/>
      <c r="R238" s="29"/>
      <c r="S238" s="29"/>
      <c r="T238" s="237"/>
      <c r="U238" s="400"/>
    </row>
    <row r="239" spans="1:21" ht="32.25" customHeight="1" thickTop="1" thickBot="1">
      <c r="A239" s="265" t="s">
        <v>920</v>
      </c>
      <c r="B239" s="38" t="s">
        <v>921</v>
      </c>
      <c r="C239" s="29"/>
      <c r="D239" s="29"/>
      <c r="E239" s="29"/>
      <c r="F239" s="29"/>
      <c r="G239" s="29"/>
      <c r="H239" s="29"/>
      <c r="I239" s="1507">
        <v>2.8500000000000001E-2</v>
      </c>
      <c r="J239" s="29"/>
      <c r="K239" s="29"/>
      <c r="L239" s="29"/>
      <c r="M239" s="192"/>
      <c r="N239" s="29"/>
      <c r="O239" s="1001"/>
      <c r="P239" s="29"/>
      <c r="Q239" s="29"/>
      <c r="R239" s="29"/>
      <c r="S239" s="29"/>
      <c r="T239" s="237"/>
      <c r="U239" s="400"/>
    </row>
    <row r="240" spans="1:21" ht="23.4" thickTop="1">
      <c r="A240" s="270"/>
      <c r="B240" s="87"/>
      <c r="C240" s="29"/>
      <c r="D240" s="29"/>
      <c r="E240" s="29"/>
      <c r="F240" s="29"/>
      <c r="G240" s="29"/>
      <c r="H240" s="90"/>
      <c r="I240" s="901"/>
      <c r="J240" s="29"/>
      <c r="K240" s="29"/>
      <c r="L240" s="29"/>
      <c r="M240" s="177"/>
      <c r="N240" s="29"/>
      <c r="O240" s="997"/>
      <c r="P240" s="29"/>
      <c r="Q240" s="29"/>
      <c r="R240" s="29"/>
      <c r="S240" s="29"/>
      <c r="T240" s="237"/>
      <c r="U240" s="407"/>
    </row>
    <row r="241" spans="1:21" ht="22.8">
      <c r="A241" s="264" t="s">
        <v>505</v>
      </c>
      <c r="B241" s="88" t="s">
        <v>349</v>
      </c>
      <c r="C241" s="29"/>
      <c r="D241" s="29"/>
      <c r="E241" s="29"/>
      <c r="F241" s="29"/>
      <c r="G241" s="29"/>
      <c r="H241" s="53"/>
      <c r="I241" s="901"/>
      <c r="J241" s="29"/>
      <c r="K241" s="29"/>
      <c r="L241" s="29"/>
      <c r="M241" s="177"/>
      <c r="N241" s="29"/>
      <c r="O241" s="997"/>
      <c r="P241" s="29"/>
      <c r="Q241" s="29"/>
      <c r="R241" s="29"/>
      <c r="S241" s="29"/>
      <c r="T241" s="237"/>
      <c r="U241" s="399"/>
    </row>
    <row r="242" spans="1:21" ht="23.4" thickBot="1">
      <c r="A242" s="270"/>
      <c r="B242" s="87"/>
      <c r="C242" s="29"/>
      <c r="D242" s="29"/>
      <c r="E242" s="29"/>
      <c r="F242" s="29"/>
      <c r="G242" s="29"/>
      <c r="H242" s="29"/>
      <c r="I242" s="901"/>
      <c r="J242" s="29"/>
      <c r="K242" s="29"/>
      <c r="L242" s="29"/>
      <c r="M242" s="177"/>
      <c r="N242" s="29"/>
      <c r="O242" s="997"/>
      <c r="P242" s="29"/>
      <c r="Q242" s="29"/>
      <c r="R242" s="29"/>
      <c r="S242" s="29"/>
      <c r="T242" s="237"/>
      <c r="U242" s="407"/>
    </row>
    <row r="243" spans="1:21" ht="24" thickTop="1" thickBot="1">
      <c r="A243" s="264" t="s">
        <v>180</v>
      </c>
      <c r="B243" s="439" t="s">
        <v>707</v>
      </c>
      <c r="C243" s="29"/>
      <c r="D243" s="29"/>
      <c r="E243" s="29"/>
      <c r="F243" s="29"/>
      <c r="G243" s="29"/>
      <c r="H243" s="29"/>
      <c r="I243" s="937">
        <f>sysdata!E198*1000000</f>
        <v>56000000</v>
      </c>
      <c r="J243" s="29"/>
      <c r="K243" s="180">
        <f>1*0.9</f>
        <v>0.9</v>
      </c>
      <c r="L243" s="29"/>
      <c r="M243" s="179">
        <f>+I243*K243</f>
        <v>50400000</v>
      </c>
      <c r="N243" s="29"/>
      <c r="O243" s="1001" t="s">
        <v>713</v>
      </c>
      <c r="P243" s="29"/>
      <c r="Q243" s="29"/>
      <c r="R243" s="29"/>
      <c r="S243" s="29"/>
      <c r="T243" s="237"/>
      <c r="U243" s="399"/>
    </row>
    <row r="244" spans="1:21" ht="24" thickTop="1" thickBot="1">
      <c r="A244" s="270"/>
      <c r="B244" s="87"/>
      <c r="C244" s="29"/>
      <c r="D244" s="29"/>
      <c r="E244" s="29"/>
      <c r="F244" s="29"/>
      <c r="G244" s="29"/>
      <c r="H244" s="29"/>
      <c r="I244" s="901"/>
      <c r="J244" s="29"/>
      <c r="K244" s="29"/>
      <c r="L244" s="29"/>
      <c r="M244" s="177"/>
      <c r="N244" s="29"/>
      <c r="O244" s="29"/>
      <c r="P244" s="29"/>
      <c r="Q244" s="29"/>
      <c r="R244" s="29"/>
      <c r="S244" s="29"/>
      <c r="T244" s="237"/>
      <c r="U244" s="407"/>
    </row>
    <row r="245" spans="1:21" ht="24" thickTop="1" thickBot="1">
      <c r="A245" s="767" t="s">
        <v>146</v>
      </c>
      <c r="B245" s="439" t="s">
        <v>708</v>
      </c>
      <c r="C245" s="29"/>
      <c r="D245" s="29"/>
      <c r="E245" s="29"/>
      <c r="F245" s="29"/>
      <c r="G245" s="29"/>
      <c r="H245" s="29"/>
      <c r="I245" s="937">
        <f>+I243*I176</f>
        <v>23617360.75007619</v>
      </c>
      <c r="J245" s="29"/>
      <c r="K245" s="180">
        <f>1*0.9</f>
        <v>0.9</v>
      </c>
      <c r="L245" s="29"/>
      <c r="M245" s="179">
        <f>+I245*K245</f>
        <v>21255624.675068572</v>
      </c>
      <c r="N245" s="29"/>
      <c r="O245" s="29"/>
      <c r="P245" s="29"/>
      <c r="Q245" s="29"/>
      <c r="R245" s="29"/>
      <c r="S245" s="29"/>
      <c r="T245" s="237"/>
      <c r="U245" s="407"/>
    </row>
    <row r="246" spans="1:21" ht="24" thickTop="1" thickBot="1">
      <c r="A246" s="270"/>
      <c r="B246" s="87"/>
      <c r="C246" s="29"/>
      <c r="D246" s="29"/>
      <c r="E246" s="29"/>
      <c r="F246" s="29"/>
      <c r="G246" s="29"/>
      <c r="H246" s="29"/>
      <c r="I246" s="901"/>
      <c r="J246" s="29"/>
      <c r="K246" s="29"/>
      <c r="L246" s="29"/>
      <c r="M246" s="177"/>
      <c r="N246" s="29"/>
      <c r="O246" s="29"/>
      <c r="P246" s="29"/>
      <c r="Q246" s="29"/>
      <c r="R246" s="29"/>
      <c r="S246" s="29"/>
      <c r="T246" s="237"/>
      <c r="U246" s="407"/>
    </row>
    <row r="247" spans="1:21" ht="24" thickTop="1" thickBot="1">
      <c r="A247" s="768" t="s">
        <v>147</v>
      </c>
      <c r="B247" s="87" t="s">
        <v>98</v>
      </c>
      <c r="C247" s="29"/>
      <c r="D247" s="29"/>
      <c r="E247" s="29"/>
      <c r="F247" s="29"/>
      <c r="G247" s="29"/>
      <c r="H247" s="29"/>
      <c r="I247" s="934">
        <v>30</v>
      </c>
      <c r="J247" s="29"/>
      <c r="K247" s="29"/>
      <c r="L247" s="29"/>
      <c r="M247" s="193">
        <f>+I247</f>
        <v>30</v>
      </c>
      <c r="N247" s="29"/>
      <c r="O247" s="29"/>
      <c r="P247" s="29"/>
      <c r="Q247" s="29"/>
      <c r="R247" s="29"/>
      <c r="S247" s="29"/>
      <c r="T247" s="237"/>
      <c r="U247" s="399"/>
    </row>
    <row r="248" spans="1:21" ht="24" thickTop="1" thickBot="1">
      <c r="A248" s="270"/>
      <c r="B248" s="87"/>
      <c r="C248" s="29"/>
      <c r="D248" s="29"/>
      <c r="E248" s="29"/>
      <c r="F248" s="29"/>
      <c r="G248" s="29"/>
      <c r="H248" s="29"/>
      <c r="I248" s="901"/>
      <c r="J248" s="29"/>
      <c r="K248" s="29"/>
      <c r="L248" s="29"/>
      <c r="M248" s="177"/>
      <c r="N248" s="29"/>
      <c r="O248" s="29"/>
      <c r="P248" s="29"/>
      <c r="Q248" s="29"/>
      <c r="R248" s="29"/>
      <c r="S248" s="29"/>
      <c r="T248" s="237"/>
      <c r="U248" s="407"/>
    </row>
    <row r="249" spans="1:21" ht="24" thickTop="1" thickBot="1">
      <c r="A249" s="768" t="s">
        <v>709</v>
      </c>
      <c r="B249" s="87" t="s">
        <v>99</v>
      </c>
      <c r="C249" s="29"/>
      <c r="D249" s="29"/>
      <c r="E249" s="29"/>
      <c r="F249" s="29"/>
      <c r="G249" s="29"/>
      <c r="H249" s="29"/>
      <c r="I249" s="935">
        <v>0.25</v>
      </c>
      <c r="J249" s="29"/>
      <c r="K249" s="29"/>
      <c r="L249" s="29"/>
      <c r="M249" s="194">
        <f>+I249</f>
        <v>0.25</v>
      </c>
      <c r="N249" s="29"/>
      <c r="O249" s="29"/>
      <c r="P249" s="29"/>
      <c r="Q249" s="29"/>
      <c r="R249" s="29"/>
      <c r="S249" s="29"/>
      <c r="T249" s="778"/>
      <c r="U249" s="399"/>
    </row>
    <row r="250" spans="1:21" ht="24" thickTop="1" thickBot="1">
      <c r="A250" s="768"/>
      <c r="B250" s="87"/>
      <c r="C250" s="29"/>
      <c r="D250" s="29"/>
      <c r="E250" s="29"/>
      <c r="F250" s="29"/>
      <c r="G250" s="29"/>
      <c r="H250" s="29"/>
      <c r="I250" s="1506"/>
      <c r="J250" s="29"/>
      <c r="K250" s="29"/>
      <c r="L250" s="29"/>
      <c r="M250" s="194"/>
      <c r="N250" s="29"/>
      <c r="O250" s="29"/>
      <c r="P250" s="29"/>
      <c r="Q250" s="29"/>
      <c r="R250" s="29"/>
      <c r="S250" s="29"/>
      <c r="T250" s="778"/>
      <c r="U250" s="399"/>
    </row>
    <row r="251" spans="1:21" ht="28.5" customHeight="1" thickTop="1" thickBot="1">
      <c r="A251" s="768" t="s">
        <v>922</v>
      </c>
      <c r="B251" s="38" t="s">
        <v>921</v>
      </c>
      <c r="C251" s="29"/>
      <c r="D251" s="29"/>
      <c r="E251" s="29"/>
      <c r="F251" s="29"/>
      <c r="G251" s="29"/>
      <c r="H251" s="29"/>
      <c r="I251" s="1507">
        <f>+I239</f>
        <v>2.8500000000000001E-2</v>
      </c>
      <c r="J251" s="29"/>
      <c r="K251" s="29"/>
      <c r="L251" s="29"/>
      <c r="M251" s="194"/>
      <c r="N251" s="29"/>
      <c r="O251" s="29"/>
      <c r="P251" s="29"/>
      <c r="Q251" s="29"/>
      <c r="R251" s="29"/>
      <c r="S251" s="29"/>
      <c r="T251" s="778"/>
      <c r="U251" s="399"/>
    </row>
    <row r="252" spans="1:21" ht="23.4" thickTop="1">
      <c r="A252" s="270"/>
      <c r="B252" s="87"/>
      <c r="C252" s="29"/>
      <c r="D252" s="29"/>
      <c r="E252" s="29"/>
      <c r="F252" s="29"/>
      <c r="G252" s="29"/>
      <c r="H252" s="29"/>
      <c r="I252" s="901"/>
      <c r="J252" s="29"/>
      <c r="K252" s="29"/>
      <c r="L252" s="29"/>
      <c r="M252" s="177"/>
      <c r="N252" s="29"/>
      <c r="O252" s="29"/>
      <c r="P252" s="29"/>
      <c r="Q252" s="29"/>
      <c r="R252" s="29"/>
      <c r="S252" s="29"/>
      <c r="T252" s="237"/>
      <c r="U252" s="407"/>
    </row>
    <row r="253" spans="1:21" ht="22.8">
      <c r="A253" s="270" t="s">
        <v>532</v>
      </c>
      <c r="B253" s="88" t="s">
        <v>517</v>
      </c>
      <c r="C253" s="29"/>
      <c r="D253" s="29"/>
      <c r="E253" s="29"/>
      <c r="F253" s="29"/>
      <c r="G253" s="29"/>
      <c r="H253" s="29"/>
      <c r="I253" s="901"/>
      <c r="J253" s="29"/>
      <c r="K253" s="29"/>
      <c r="L253" s="29"/>
      <c r="M253" s="177"/>
      <c r="N253" s="29"/>
      <c r="O253" s="29"/>
      <c r="P253" s="29"/>
      <c r="Q253" s="29"/>
      <c r="R253" s="29"/>
      <c r="S253" s="29"/>
      <c r="T253" s="237"/>
      <c r="U253" s="407"/>
    </row>
    <row r="254" spans="1:21" ht="23.4" thickBot="1">
      <c r="A254" s="270"/>
      <c r="B254" s="87"/>
      <c r="C254" s="29"/>
      <c r="D254" s="29"/>
      <c r="E254" s="29"/>
      <c r="F254" s="29"/>
      <c r="G254" s="29"/>
      <c r="H254" s="29"/>
      <c r="I254" s="901"/>
      <c r="J254" s="29"/>
      <c r="K254" s="29"/>
      <c r="L254" s="29"/>
      <c r="M254" s="177"/>
      <c r="N254" s="29"/>
      <c r="O254" s="29"/>
      <c r="P254" s="29"/>
      <c r="Q254" s="29"/>
      <c r="R254" s="29"/>
      <c r="S254" s="29"/>
      <c r="T254" s="237"/>
      <c r="U254" s="407"/>
    </row>
    <row r="255" spans="1:21" ht="24" thickTop="1" thickBot="1">
      <c r="A255" s="265" t="s">
        <v>507</v>
      </c>
      <c r="B255" s="38" t="s">
        <v>182</v>
      </c>
      <c r="C255" s="29"/>
      <c r="D255" s="29"/>
      <c r="E255" s="29"/>
      <c r="F255" s="29"/>
      <c r="G255" s="29"/>
      <c r="H255" s="29"/>
      <c r="I255" s="889">
        <f>sysdata!I66*1000000</f>
        <v>4000000</v>
      </c>
      <c r="J255" s="46"/>
      <c r="K255" s="180">
        <v>0.79</v>
      </c>
      <c r="L255" s="29"/>
      <c r="M255" s="179">
        <f>+I255*K255</f>
        <v>3160000</v>
      </c>
      <c r="N255" s="29"/>
      <c r="O255" s="774" t="s">
        <v>714</v>
      </c>
      <c r="P255" s="29"/>
      <c r="Q255" s="29"/>
      <c r="R255" s="29"/>
      <c r="S255" s="29"/>
      <c r="T255" s="237"/>
      <c r="U255" s="400"/>
    </row>
    <row r="256" spans="1:21" ht="24" thickTop="1" thickBot="1">
      <c r="A256" s="46"/>
      <c r="B256" s="29"/>
      <c r="C256" s="29"/>
      <c r="D256" s="29"/>
      <c r="E256" s="29"/>
      <c r="F256" s="29"/>
      <c r="G256" s="29"/>
      <c r="H256" s="29"/>
      <c r="I256" s="905"/>
      <c r="J256" s="29"/>
      <c r="K256" s="29"/>
      <c r="L256" s="29"/>
      <c r="M256" s="177"/>
      <c r="N256" s="29"/>
      <c r="O256" s="29"/>
      <c r="P256" s="29"/>
      <c r="Q256" s="29"/>
      <c r="R256" s="29"/>
      <c r="S256" s="29"/>
      <c r="T256" s="237"/>
      <c r="U256" s="398"/>
    </row>
    <row r="257" spans="1:21" ht="24" thickTop="1" thickBot="1">
      <c r="A257" s="264" t="s">
        <v>509</v>
      </c>
      <c r="B257" s="87" t="s">
        <v>183</v>
      </c>
      <c r="C257" s="29"/>
      <c r="D257" s="29"/>
      <c r="E257" s="29"/>
      <c r="F257" s="29"/>
      <c r="G257" s="29"/>
      <c r="H257" s="29"/>
      <c r="I257" s="912">
        <v>25</v>
      </c>
      <c r="J257" s="29"/>
      <c r="K257" s="29"/>
      <c r="L257" s="29"/>
      <c r="M257" s="155">
        <f>+I257</f>
        <v>25</v>
      </c>
      <c r="N257" s="29"/>
      <c r="O257" s="769"/>
      <c r="P257" s="29"/>
      <c r="Q257" s="29"/>
      <c r="R257" s="29"/>
      <c r="S257" s="29"/>
      <c r="T257" s="237"/>
      <c r="U257" s="399"/>
    </row>
    <row r="258" spans="1:21" ht="24" thickTop="1" thickBot="1">
      <c r="A258" s="46"/>
      <c r="B258" s="29"/>
      <c r="C258" s="29"/>
      <c r="D258" s="29"/>
      <c r="E258" s="29"/>
      <c r="F258" s="29"/>
      <c r="G258" s="29"/>
      <c r="H258" s="29"/>
      <c r="I258" s="905"/>
      <c r="J258" s="29"/>
      <c r="K258" s="29"/>
      <c r="L258" s="29"/>
      <c r="M258" s="177"/>
      <c r="N258" s="29"/>
      <c r="O258" s="29"/>
      <c r="P258" s="29"/>
      <c r="Q258" s="29"/>
      <c r="R258" s="29"/>
      <c r="S258" s="29"/>
      <c r="T258" s="237"/>
      <c r="U258" s="398"/>
    </row>
    <row r="259" spans="1:21" ht="24" thickTop="1" thickBot="1">
      <c r="A259" s="265" t="s">
        <v>510</v>
      </c>
      <c r="B259" s="38" t="s">
        <v>184</v>
      </c>
      <c r="C259" s="29"/>
      <c r="D259" s="29"/>
      <c r="E259" s="29"/>
      <c r="F259" s="29"/>
      <c r="G259" s="29"/>
      <c r="H259" s="29"/>
      <c r="I259" s="935">
        <v>0.25</v>
      </c>
      <c r="J259" s="29"/>
      <c r="K259" s="29"/>
      <c r="L259" s="29"/>
      <c r="M259" s="192">
        <f>+I259</f>
        <v>0.25</v>
      </c>
      <c r="N259" s="29"/>
      <c r="O259" s="29"/>
      <c r="P259" s="29"/>
      <c r="Q259" s="29"/>
      <c r="R259" s="29"/>
      <c r="S259" s="29"/>
      <c r="T259" s="237"/>
      <c r="U259" s="400"/>
    </row>
    <row r="260" spans="1:21" ht="24" thickTop="1" thickBot="1">
      <c r="A260" s="46"/>
      <c r="B260" s="29"/>
      <c r="C260" s="29"/>
      <c r="D260" s="29"/>
      <c r="E260" s="29"/>
      <c r="F260" s="29"/>
      <c r="G260" s="29"/>
      <c r="H260" s="29"/>
      <c r="I260" s="905"/>
      <c r="J260" s="29"/>
      <c r="K260" s="29"/>
      <c r="L260" s="29"/>
      <c r="M260" s="177"/>
      <c r="N260" s="29"/>
      <c r="O260" s="29"/>
      <c r="P260" s="29"/>
      <c r="Q260" s="29"/>
      <c r="R260" s="29"/>
      <c r="S260" s="29"/>
      <c r="T260" s="237"/>
      <c r="U260" s="398"/>
    </row>
    <row r="261" spans="1:21" ht="24" thickTop="1" thickBot="1">
      <c r="A261" s="767" t="s">
        <v>923</v>
      </c>
      <c r="B261" s="439" t="s">
        <v>924</v>
      </c>
      <c r="C261" s="29"/>
      <c r="D261" s="29"/>
      <c r="E261" s="29"/>
      <c r="F261" s="29"/>
      <c r="G261" s="29"/>
      <c r="H261" s="29"/>
      <c r="I261" s="1508">
        <v>7.0000000000000007E-2</v>
      </c>
      <c r="J261" s="29"/>
      <c r="K261" s="29"/>
      <c r="L261" s="29"/>
      <c r="M261" s="177"/>
      <c r="N261" s="29"/>
      <c r="O261" s="29"/>
      <c r="P261" s="29"/>
      <c r="Q261" s="29"/>
      <c r="R261" s="29"/>
      <c r="S261" s="29"/>
      <c r="T261" s="237"/>
      <c r="U261" s="398"/>
    </row>
    <row r="262" spans="1:21" ht="24" thickTop="1" thickBot="1">
      <c r="A262" s="46"/>
      <c r="B262" s="29"/>
      <c r="C262" s="29"/>
      <c r="D262" s="29"/>
      <c r="E262" s="29"/>
      <c r="F262" s="29"/>
      <c r="G262" s="29"/>
      <c r="H262" s="29"/>
      <c r="I262" s="905"/>
      <c r="J262" s="29"/>
      <c r="K262" s="29"/>
      <c r="L262" s="29"/>
      <c r="M262" s="177"/>
      <c r="N262" s="29"/>
      <c r="O262" s="29"/>
      <c r="P262" s="29"/>
      <c r="Q262" s="29"/>
      <c r="R262" s="29"/>
      <c r="S262" s="29"/>
      <c r="T262" s="237"/>
      <c r="U262" s="398"/>
    </row>
    <row r="263" spans="1:21" ht="24" thickTop="1" thickBot="1">
      <c r="A263" s="264" t="s">
        <v>512</v>
      </c>
      <c r="B263" s="87" t="s">
        <v>185</v>
      </c>
      <c r="C263" s="29"/>
      <c r="D263" s="29"/>
      <c r="E263" s="29"/>
      <c r="F263" s="29"/>
      <c r="G263" s="29"/>
      <c r="H263" s="29"/>
      <c r="I263" s="904"/>
      <c r="J263" s="29"/>
      <c r="K263" s="180">
        <v>0.79</v>
      </c>
      <c r="L263" s="29"/>
      <c r="M263" s="179">
        <f>+I263*K263</f>
        <v>0</v>
      </c>
      <c r="N263" s="29"/>
      <c r="O263" s="29"/>
      <c r="P263" s="29"/>
      <c r="Q263" s="29"/>
      <c r="R263" s="29"/>
      <c r="S263" s="29"/>
      <c r="T263" s="237"/>
      <c r="U263" s="399"/>
    </row>
    <row r="264" spans="1:21" ht="24" thickTop="1" thickBot="1">
      <c r="A264" s="46"/>
      <c r="B264" s="29"/>
      <c r="C264" s="29"/>
      <c r="D264" s="29"/>
      <c r="E264" s="29"/>
      <c r="F264" s="29"/>
      <c r="G264" s="29"/>
      <c r="H264" s="29"/>
      <c r="I264" s="905"/>
      <c r="J264" s="29"/>
      <c r="K264" s="29"/>
      <c r="L264" s="29"/>
      <c r="M264" s="177"/>
      <c r="N264" s="29"/>
      <c r="O264" s="29"/>
      <c r="P264" s="29"/>
      <c r="Q264" s="29"/>
      <c r="R264" s="29"/>
      <c r="S264" s="29"/>
      <c r="T264" s="237"/>
      <c r="U264" s="398"/>
    </row>
    <row r="265" spans="1:21" ht="24" thickTop="1" thickBot="1">
      <c r="A265" s="264" t="s">
        <v>513</v>
      </c>
      <c r="B265" s="87" t="s">
        <v>186</v>
      </c>
      <c r="C265" s="29"/>
      <c r="D265" s="29"/>
      <c r="E265" s="29"/>
      <c r="F265" s="29"/>
      <c r="G265" s="29"/>
      <c r="H265" s="29"/>
      <c r="I265" s="934">
        <v>25</v>
      </c>
      <c r="J265" s="29"/>
      <c r="K265" s="29"/>
      <c r="L265" s="29"/>
      <c r="M265" s="177">
        <f>+I265</f>
        <v>25</v>
      </c>
      <c r="N265" s="29"/>
      <c r="O265" s="29"/>
      <c r="P265" s="29"/>
      <c r="Q265" s="29"/>
      <c r="R265" s="29"/>
      <c r="S265" s="29"/>
      <c r="T265" s="237"/>
      <c r="U265" s="399"/>
    </row>
    <row r="266" spans="1:21" ht="24" thickTop="1" thickBot="1">
      <c r="A266" s="46"/>
      <c r="B266" s="29"/>
      <c r="C266" s="29"/>
      <c r="D266" s="29"/>
      <c r="E266" s="29"/>
      <c r="F266" s="29"/>
      <c r="G266" s="29"/>
      <c r="H266" s="29"/>
      <c r="I266" s="905"/>
      <c r="J266" s="29"/>
      <c r="K266" s="29"/>
      <c r="L266" s="29"/>
      <c r="M266" s="177"/>
      <c r="N266" s="29"/>
      <c r="O266" s="29"/>
      <c r="P266" s="29"/>
      <c r="Q266" s="29"/>
      <c r="R266" s="29"/>
      <c r="S266" s="29"/>
      <c r="T266" s="237"/>
      <c r="U266" s="398"/>
    </row>
    <row r="267" spans="1:21" ht="24" thickTop="1" thickBot="1">
      <c r="A267" s="265" t="s">
        <v>514</v>
      </c>
      <c r="B267" s="38" t="s">
        <v>187</v>
      </c>
      <c r="C267" s="29"/>
      <c r="D267" s="29"/>
      <c r="E267" s="29"/>
      <c r="F267" s="29"/>
      <c r="G267" s="29"/>
      <c r="H267" s="29"/>
      <c r="I267" s="912">
        <v>0</v>
      </c>
      <c r="J267" s="29"/>
      <c r="K267" s="29"/>
      <c r="L267" s="29"/>
      <c r="M267" s="194">
        <f>+I267</f>
        <v>0</v>
      </c>
      <c r="N267" s="29"/>
      <c r="O267" s="29"/>
      <c r="P267" s="29"/>
      <c r="Q267" s="29"/>
      <c r="R267" s="29"/>
      <c r="S267" s="29"/>
      <c r="T267" s="237"/>
      <c r="U267" s="400"/>
    </row>
    <row r="268" spans="1:21" ht="24" thickTop="1" thickBot="1">
      <c r="A268" s="46"/>
      <c r="B268" s="29"/>
      <c r="C268" s="29"/>
      <c r="D268" s="29"/>
      <c r="E268" s="29"/>
      <c r="F268" s="29"/>
      <c r="G268" s="29"/>
      <c r="H268" s="29"/>
      <c r="I268" s="905"/>
      <c r="J268" s="29"/>
      <c r="K268" s="29"/>
      <c r="L268" s="29"/>
      <c r="M268" s="177"/>
      <c r="N268" s="29"/>
      <c r="O268" s="29"/>
      <c r="P268" s="29"/>
      <c r="Q268" s="29"/>
      <c r="R268" s="29"/>
      <c r="S268" s="29"/>
      <c r="T268" s="237"/>
      <c r="U268" s="398"/>
    </row>
    <row r="269" spans="1:21" ht="24" thickTop="1" thickBot="1">
      <c r="A269" s="767" t="s">
        <v>925</v>
      </c>
      <c r="B269" s="439" t="s">
        <v>926</v>
      </c>
      <c r="C269" s="29"/>
      <c r="D269" s="29"/>
      <c r="E269" s="29"/>
      <c r="F269" s="29"/>
      <c r="G269" s="29"/>
      <c r="H269" s="29"/>
      <c r="I269" s="912">
        <v>0</v>
      </c>
      <c r="J269" s="29"/>
      <c r="K269" s="29"/>
      <c r="L269" s="29"/>
      <c r="M269" s="177"/>
      <c r="N269" s="29"/>
      <c r="O269" s="29"/>
      <c r="P269" s="29"/>
      <c r="Q269" s="29"/>
      <c r="R269" s="29"/>
      <c r="S269" s="29"/>
      <c r="T269" s="237"/>
      <c r="U269" s="398"/>
    </row>
    <row r="270" spans="1:21" ht="23.4" thickTop="1">
      <c r="A270" s="46"/>
      <c r="B270" s="29"/>
      <c r="C270" s="29"/>
      <c r="D270" s="29"/>
      <c r="E270" s="29"/>
      <c r="F270" s="29"/>
      <c r="G270" s="29"/>
      <c r="H270" s="29"/>
      <c r="I270" s="901"/>
      <c r="J270" s="29"/>
      <c r="K270" s="29"/>
      <c r="L270" s="29"/>
      <c r="M270" s="177"/>
      <c r="N270" s="29"/>
      <c r="O270" s="29"/>
      <c r="P270" s="29"/>
      <c r="Q270" s="29"/>
      <c r="R270" s="29"/>
      <c r="S270" s="29"/>
      <c r="T270" s="237"/>
      <c r="U270" s="398"/>
    </row>
    <row r="271" spans="1:21" ht="22.8">
      <c r="A271" s="270" t="s">
        <v>533</v>
      </c>
      <c r="B271" s="88" t="s">
        <v>534</v>
      </c>
      <c r="C271" s="29"/>
      <c r="D271" s="29"/>
      <c r="E271" s="29"/>
      <c r="F271" s="29"/>
      <c r="G271" s="29"/>
      <c r="H271" s="29"/>
      <c r="I271" s="924"/>
      <c r="J271" s="91"/>
      <c r="K271" s="29"/>
      <c r="L271" s="29"/>
      <c r="M271" s="177"/>
      <c r="N271" s="29"/>
      <c r="O271" s="29"/>
      <c r="P271" s="29"/>
      <c r="Q271" s="29"/>
      <c r="R271" s="29"/>
      <c r="S271" s="29"/>
      <c r="T271" s="237"/>
      <c r="U271" s="407"/>
    </row>
    <row r="272" spans="1:21" ht="23.4" thickBot="1">
      <c r="A272" s="46"/>
      <c r="B272" s="29"/>
      <c r="C272" s="29"/>
      <c r="D272" s="29"/>
      <c r="E272" s="29"/>
      <c r="F272" s="29"/>
      <c r="G272" s="29"/>
      <c r="H272" s="29"/>
      <c r="I272" s="901"/>
      <c r="J272" s="29"/>
      <c r="K272" s="29"/>
      <c r="L272" s="29"/>
      <c r="M272" s="177"/>
      <c r="N272" s="29"/>
      <c r="O272" s="29"/>
      <c r="P272" s="29"/>
      <c r="Q272" s="29"/>
      <c r="R272" s="29"/>
      <c r="S272" s="29"/>
      <c r="T272" s="237"/>
      <c r="U272" s="398"/>
    </row>
    <row r="273" spans="1:21" ht="24" thickTop="1" thickBot="1">
      <c r="A273" s="265" t="s">
        <v>518</v>
      </c>
      <c r="B273" s="38" t="s">
        <v>478</v>
      </c>
      <c r="C273" s="29"/>
      <c r="D273" s="29"/>
      <c r="E273" s="29"/>
      <c r="F273" s="29"/>
      <c r="G273" s="29"/>
      <c r="H273" s="29"/>
      <c r="I273" s="889">
        <f>sysdata!I100*1000000</f>
        <v>100000</v>
      </c>
      <c r="J273" s="46"/>
      <c r="K273" s="180">
        <v>0.79</v>
      </c>
      <c r="L273" s="29"/>
      <c r="M273" s="179">
        <f>+I273*K273</f>
        <v>79000</v>
      </c>
      <c r="N273" s="29"/>
      <c r="O273" s="774" t="s">
        <v>714</v>
      </c>
      <c r="P273" s="29"/>
      <c r="Q273" s="29"/>
      <c r="R273" s="29"/>
      <c r="S273" s="29"/>
      <c r="T273" s="237"/>
      <c r="U273" s="400"/>
    </row>
    <row r="274" spans="1:21" ht="24" thickTop="1" thickBot="1">
      <c r="A274" s="46"/>
      <c r="B274" s="29"/>
      <c r="C274" s="29"/>
      <c r="D274" s="29"/>
      <c r="E274" s="29"/>
      <c r="F274" s="29"/>
      <c r="G274" s="29"/>
      <c r="H274" s="29"/>
      <c r="I274" s="905"/>
      <c r="J274" s="29"/>
      <c r="K274" s="29"/>
      <c r="L274" s="29"/>
      <c r="M274" s="177"/>
      <c r="N274" s="29"/>
      <c r="O274" s="29"/>
      <c r="P274" s="29"/>
      <c r="Q274" s="29"/>
      <c r="R274" s="29"/>
      <c r="S274" s="29"/>
      <c r="T274" s="237"/>
      <c r="U274" s="398"/>
    </row>
    <row r="275" spans="1:21" ht="24" thickTop="1" thickBot="1">
      <c r="A275" s="264" t="s">
        <v>519</v>
      </c>
      <c r="B275" s="87" t="s">
        <v>535</v>
      </c>
      <c r="C275" s="29"/>
      <c r="D275" s="29"/>
      <c r="E275" s="29"/>
      <c r="F275" s="29"/>
      <c r="G275" s="29"/>
      <c r="H275" s="29"/>
      <c r="I275" s="934">
        <v>20</v>
      </c>
      <c r="J275" s="46"/>
      <c r="K275" s="29"/>
      <c r="L275" s="29"/>
      <c r="M275" s="179">
        <f>+I275</f>
        <v>20</v>
      </c>
      <c r="N275" s="29"/>
      <c r="O275" s="29"/>
      <c r="P275" s="29"/>
      <c r="Q275" s="29"/>
      <c r="R275" s="29"/>
      <c r="S275" s="29"/>
      <c r="T275" s="237"/>
      <c r="U275" s="399"/>
    </row>
    <row r="276" spans="1:21" ht="24" thickTop="1" thickBot="1">
      <c r="A276" s="46"/>
      <c r="B276" s="29"/>
      <c r="C276" s="29"/>
      <c r="D276" s="29"/>
      <c r="E276" s="29"/>
      <c r="F276" s="29"/>
      <c r="G276" s="29"/>
      <c r="H276" s="29"/>
      <c r="I276" s="905"/>
      <c r="J276" s="29"/>
      <c r="K276" s="29"/>
      <c r="L276" s="29"/>
      <c r="M276" s="177"/>
      <c r="N276" s="29"/>
      <c r="O276" s="29"/>
      <c r="P276" s="29"/>
      <c r="Q276" s="29"/>
      <c r="R276" s="29"/>
      <c r="S276" s="29"/>
      <c r="T276" s="237"/>
      <c r="U276" s="398"/>
    </row>
    <row r="277" spans="1:21" ht="24" thickTop="1" thickBot="1">
      <c r="A277" s="265" t="s">
        <v>520</v>
      </c>
      <c r="B277" s="38" t="s">
        <v>536</v>
      </c>
      <c r="C277" s="29"/>
      <c r="D277" s="29"/>
      <c r="E277" s="29"/>
      <c r="F277" s="29"/>
      <c r="G277" s="29"/>
      <c r="H277" s="29"/>
      <c r="I277" s="935">
        <v>0.1</v>
      </c>
      <c r="J277" s="46"/>
      <c r="K277" s="29"/>
      <c r="L277" s="29"/>
      <c r="M277" s="192">
        <f>+I277</f>
        <v>0.1</v>
      </c>
      <c r="N277" s="29"/>
      <c r="O277" s="29"/>
      <c r="P277" s="29"/>
      <c r="Q277" s="29"/>
      <c r="R277" s="29"/>
      <c r="S277" s="29"/>
      <c r="T277" s="237"/>
      <c r="U277" s="400"/>
    </row>
    <row r="278" spans="1:21" ht="24" thickTop="1" thickBot="1">
      <c r="A278" s="265"/>
      <c r="B278" s="38"/>
      <c r="C278" s="29"/>
      <c r="D278" s="29"/>
      <c r="E278" s="29"/>
      <c r="F278" s="29"/>
      <c r="G278" s="29"/>
      <c r="H278" s="29"/>
      <c r="I278" s="1509"/>
      <c r="J278" s="91"/>
      <c r="K278" s="29"/>
      <c r="L278" s="29"/>
      <c r="M278" s="192"/>
      <c r="N278" s="29"/>
      <c r="O278" s="29"/>
      <c r="P278" s="29"/>
      <c r="Q278" s="29"/>
      <c r="R278" s="29"/>
      <c r="S278" s="29"/>
      <c r="T278" s="237"/>
      <c r="U278" s="400"/>
    </row>
    <row r="279" spans="1:21" ht="24" thickTop="1" thickBot="1">
      <c r="A279" s="265" t="s">
        <v>927</v>
      </c>
      <c r="B279" s="439" t="s">
        <v>928</v>
      </c>
      <c r="C279" s="29"/>
      <c r="D279" s="29"/>
      <c r="E279" s="29"/>
      <c r="F279" s="29"/>
      <c r="G279" s="29"/>
      <c r="H279" s="29"/>
      <c r="I279" s="935">
        <f>+I261</f>
        <v>7.0000000000000007E-2</v>
      </c>
      <c r="J279" s="91"/>
      <c r="K279" s="29"/>
      <c r="L279" s="29"/>
      <c r="M279" s="192"/>
      <c r="N279" s="29"/>
      <c r="O279" s="29"/>
      <c r="P279" s="29"/>
      <c r="Q279" s="29"/>
      <c r="R279" s="29"/>
      <c r="S279" s="29"/>
      <c r="T279" s="237"/>
      <c r="U279" s="400"/>
    </row>
    <row r="280" spans="1:21" ht="24" thickTop="1" thickBot="1">
      <c r="A280" s="46"/>
      <c r="B280" s="29"/>
      <c r="C280" s="29"/>
      <c r="D280" s="29"/>
      <c r="E280" s="29"/>
      <c r="F280" s="29"/>
      <c r="G280" s="29"/>
      <c r="H280" s="29"/>
      <c r="I280" s="905"/>
      <c r="J280" s="29"/>
      <c r="K280" s="29"/>
      <c r="L280" s="29"/>
      <c r="M280" s="177"/>
      <c r="N280" s="29"/>
      <c r="O280" s="29"/>
      <c r="P280" s="29"/>
      <c r="Q280" s="29"/>
      <c r="R280" s="29"/>
      <c r="S280" s="29"/>
      <c r="T280" s="237"/>
      <c r="U280" s="398"/>
    </row>
    <row r="281" spans="1:21" ht="23.4" thickTop="1">
      <c r="A281" s="278" t="s">
        <v>156</v>
      </c>
      <c r="B281" s="279"/>
      <c r="C281" s="279"/>
      <c r="D281" s="279"/>
      <c r="E281" s="279"/>
      <c r="F281" s="279"/>
      <c r="G281" s="279"/>
      <c r="H281" s="279"/>
      <c r="I281" s="911"/>
      <c r="J281" s="281"/>
      <c r="K281" s="282"/>
      <c r="L281" s="282"/>
      <c r="M281" s="282"/>
      <c r="N281" s="282"/>
      <c r="O281" s="282"/>
      <c r="P281" s="282"/>
      <c r="Q281" s="282"/>
      <c r="R281" s="282"/>
      <c r="S281" s="282"/>
      <c r="T281" s="283"/>
      <c r="U281" s="387"/>
    </row>
    <row r="282" spans="1:21" ht="22.8">
      <c r="A282" s="266"/>
      <c r="B282" s="38"/>
      <c r="C282" s="29"/>
      <c r="D282" s="29"/>
      <c r="E282" s="29"/>
      <c r="F282" s="29"/>
      <c r="G282" s="29"/>
      <c r="H282" s="29"/>
      <c r="I282" s="924"/>
      <c r="J282" s="91"/>
      <c r="K282" s="29"/>
      <c r="L282" s="29"/>
      <c r="M282" s="29"/>
      <c r="N282" s="29"/>
      <c r="O282" s="29"/>
      <c r="P282" s="29"/>
      <c r="Q282" s="29"/>
      <c r="R282" s="29"/>
      <c r="S282" s="29"/>
      <c r="T282" s="237"/>
      <c r="U282" s="401"/>
    </row>
    <row r="283" spans="1:21" ht="25.2">
      <c r="A283" s="377" t="str">
        <f>+$G$5</f>
        <v>COSTING SUBJECT:</v>
      </c>
      <c r="B283" s="378"/>
      <c r="C283" s="379"/>
      <c r="D283" s="380"/>
      <c r="E283" s="381"/>
      <c r="F283" s="97" t="str">
        <f>+$J$5</f>
        <v>Double Stack Container Block Train Service, Line 1, Station "A" to Station "E"</v>
      </c>
      <c r="G283" s="29"/>
      <c r="H283" s="29"/>
      <c r="I283" s="902"/>
      <c r="J283" s="91"/>
      <c r="K283" s="29"/>
      <c r="L283" s="29"/>
      <c r="M283" s="29"/>
      <c r="N283" s="29"/>
      <c r="O283" s="29"/>
      <c r="P283" s="29"/>
      <c r="Q283" s="29"/>
      <c r="R283" s="29"/>
      <c r="S283" s="29"/>
      <c r="T283" s="237"/>
      <c r="U283" s="409"/>
    </row>
    <row r="284" spans="1:21" ht="27.6">
      <c r="A284" s="377"/>
      <c r="B284" s="378"/>
      <c r="C284" s="379"/>
      <c r="D284" s="380"/>
      <c r="E284" s="381"/>
      <c r="F284" s="382"/>
      <c r="G284" s="375"/>
      <c r="H284" s="375"/>
      <c r="I284" s="925"/>
      <c r="J284" s="91"/>
      <c r="K284" s="29"/>
      <c r="L284" s="29"/>
      <c r="M284" s="29"/>
      <c r="N284" s="29"/>
      <c r="O284" s="29"/>
      <c r="P284" s="29"/>
      <c r="Q284" s="29"/>
      <c r="R284" s="29"/>
      <c r="S284" s="29"/>
      <c r="T284" s="237"/>
      <c r="U284" s="409"/>
    </row>
    <row r="285" spans="1:21" ht="27.6">
      <c r="A285" s="377"/>
      <c r="B285" s="378"/>
      <c r="C285" s="379"/>
      <c r="D285" s="380"/>
      <c r="E285" s="381"/>
      <c r="F285" s="382"/>
      <c r="G285" s="375"/>
      <c r="H285" s="375"/>
      <c r="I285" s="925"/>
      <c r="J285" s="91"/>
      <c r="K285" s="29"/>
      <c r="L285" s="29"/>
      <c r="M285" s="29"/>
      <c r="N285" s="29"/>
      <c r="O285" s="29"/>
      <c r="P285" s="29"/>
      <c r="Q285" s="29"/>
      <c r="R285" s="29"/>
      <c r="S285" s="29"/>
      <c r="T285" s="237"/>
      <c r="U285" s="409"/>
    </row>
    <row r="286" spans="1:21" ht="25.2">
      <c r="A286" s="377" t="str">
        <f>+$G$7</f>
        <v>COSTING PREPARED BY:</v>
      </c>
      <c r="B286" s="378"/>
      <c r="C286" s="379"/>
      <c r="D286" s="380"/>
      <c r="E286" s="381"/>
      <c r="F286" s="373" t="str">
        <f>+$J$7</f>
        <v>P J Hodgkinson</v>
      </c>
      <c r="G286" s="29"/>
      <c r="H286" s="29"/>
      <c r="I286" s="902"/>
      <c r="J286" s="91"/>
      <c r="K286" s="29"/>
      <c r="L286" s="29"/>
      <c r="M286" s="29"/>
      <c r="N286" s="29"/>
      <c r="O286" s="29"/>
      <c r="P286" s="29"/>
      <c r="Q286" s="29"/>
      <c r="R286" s="29"/>
      <c r="S286" s="29"/>
      <c r="T286" s="237"/>
      <c r="U286" s="409"/>
    </row>
    <row r="287" spans="1:21" ht="25.2">
      <c r="A287" s="377" t="str">
        <f>+$G$9</f>
        <v>DATE:</v>
      </c>
      <c r="B287" s="378"/>
      <c r="C287" s="379"/>
      <c r="D287" s="380"/>
      <c r="E287" s="381"/>
      <c r="F287" s="30"/>
      <c r="G287" s="376">
        <f ca="1">+$J$9</f>
        <v>42149</v>
      </c>
      <c r="H287" s="29"/>
      <c r="I287" s="902"/>
      <c r="J287" s="91"/>
      <c r="K287" s="29"/>
      <c r="L287" s="29"/>
      <c r="M287" s="29"/>
      <c r="N287" s="29"/>
      <c r="O287" s="29"/>
      <c r="P287" s="29"/>
      <c r="Q287" s="29"/>
      <c r="R287" s="29"/>
      <c r="S287" s="29"/>
      <c r="T287" s="237"/>
      <c r="U287" s="409"/>
    </row>
    <row r="288" spans="1:21" ht="22.8">
      <c r="A288" s="266"/>
      <c r="B288" s="38"/>
      <c r="C288" s="29"/>
      <c r="D288" s="29"/>
      <c r="E288" s="29"/>
      <c r="F288" s="29"/>
      <c r="G288" s="29"/>
      <c r="H288" s="29"/>
      <c r="I288" s="924"/>
      <c r="J288" s="91"/>
      <c r="K288" s="29"/>
      <c r="L288" s="29"/>
      <c r="M288" s="29"/>
      <c r="N288" s="29"/>
      <c r="O288" s="29"/>
      <c r="P288" s="29"/>
      <c r="Q288" s="29"/>
      <c r="R288" s="29"/>
      <c r="S288" s="29"/>
      <c r="T288" s="237"/>
      <c r="U288" s="401"/>
    </row>
    <row r="289" spans="1:21" ht="22.8">
      <c r="A289" s="266"/>
      <c r="B289" s="38"/>
      <c r="C289" s="29"/>
      <c r="D289" s="29"/>
      <c r="E289" s="29"/>
      <c r="F289" s="29"/>
      <c r="G289" s="29"/>
      <c r="H289" s="29"/>
      <c r="I289" s="924"/>
      <c r="J289" s="91"/>
      <c r="K289" s="29"/>
      <c r="L289" s="29"/>
      <c r="M289" s="29"/>
      <c r="N289" s="29"/>
      <c r="O289" s="29"/>
      <c r="P289" s="29"/>
      <c r="Q289" s="29"/>
      <c r="R289" s="29"/>
      <c r="S289" s="29"/>
      <c r="T289" s="237"/>
      <c r="U289" s="401"/>
    </row>
    <row r="290" spans="1:21" ht="24.6">
      <c r="A290" s="293" t="s">
        <v>487</v>
      </c>
      <c r="B290" s="294" t="s">
        <v>109</v>
      </c>
      <c r="C290" s="294"/>
      <c r="D290" s="294"/>
      <c r="E290" s="294"/>
      <c r="F290" s="295"/>
      <c r="G290" s="29"/>
      <c r="H290" s="29"/>
      <c r="I290" s="903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37"/>
      <c r="U290" s="410"/>
    </row>
    <row r="291" spans="1:21" ht="22.8">
      <c r="A291" s="46"/>
      <c r="B291" s="29"/>
      <c r="C291" s="29"/>
      <c r="D291" s="29"/>
      <c r="E291" s="29"/>
      <c r="F291" s="29"/>
      <c r="G291" s="29"/>
      <c r="H291" s="29"/>
      <c r="I291" s="926" t="s">
        <v>107</v>
      </c>
      <c r="J291" s="30"/>
      <c r="K291" s="51" t="s">
        <v>105</v>
      </c>
      <c r="L291" s="30"/>
      <c r="M291" s="52" t="s">
        <v>488</v>
      </c>
      <c r="N291" s="52"/>
      <c r="O291" s="52" t="s">
        <v>489</v>
      </c>
      <c r="P291" s="30"/>
      <c r="Q291" s="52" t="s">
        <v>489</v>
      </c>
      <c r="R291" s="52"/>
      <c r="S291" s="52" t="s">
        <v>490</v>
      </c>
      <c r="T291" s="238" t="s">
        <v>352</v>
      </c>
      <c r="U291" s="398"/>
    </row>
    <row r="292" spans="1:21" ht="22.8">
      <c r="A292" s="272" t="s">
        <v>102</v>
      </c>
      <c r="B292" s="195" t="s">
        <v>103</v>
      </c>
      <c r="C292" s="29"/>
      <c r="D292" s="29"/>
      <c r="E292" s="29"/>
      <c r="F292" s="29"/>
      <c r="G292" s="29"/>
      <c r="H292" s="29"/>
      <c r="I292" s="923"/>
      <c r="J292" s="30"/>
      <c r="K292" s="52" t="s">
        <v>106</v>
      </c>
      <c r="L292" s="29"/>
      <c r="M292" s="52" t="s">
        <v>491</v>
      </c>
      <c r="N292" s="29"/>
      <c r="O292" s="52" t="s">
        <v>104</v>
      </c>
      <c r="P292" s="35"/>
      <c r="Q292" s="52" t="s">
        <v>537</v>
      </c>
      <c r="R292" s="29"/>
      <c r="S292" s="29"/>
      <c r="T292" s="91"/>
      <c r="U292" s="411"/>
    </row>
    <row r="293" spans="1:21" ht="22.8">
      <c r="A293" s="46"/>
      <c r="B293" s="29"/>
      <c r="C293" s="29"/>
      <c r="D293" s="29"/>
      <c r="E293" s="29"/>
      <c r="F293" s="29"/>
      <c r="G293" s="29"/>
      <c r="H293" s="29"/>
      <c r="I293" s="923"/>
      <c r="J293" s="30"/>
      <c r="K293" s="52"/>
      <c r="L293" s="29"/>
      <c r="M293" s="52"/>
      <c r="N293" s="29"/>
      <c r="O293" s="52"/>
      <c r="P293" s="35"/>
      <c r="Q293" s="52"/>
      <c r="R293" s="29"/>
      <c r="S293" s="29"/>
      <c r="T293" s="91"/>
      <c r="U293" s="398"/>
    </row>
    <row r="294" spans="1:21" ht="22.8">
      <c r="A294" s="265" t="s">
        <v>521</v>
      </c>
      <c r="B294" s="38" t="s">
        <v>493</v>
      </c>
      <c r="C294" s="29"/>
      <c r="D294" s="29"/>
      <c r="E294" s="29"/>
      <c r="F294" s="29"/>
      <c r="G294" s="29"/>
      <c r="H294" s="29"/>
      <c r="I294" s="890">
        <f>+I132*I194</f>
        <v>1432827.0123839006</v>
      </c>
      <c r="J294" s="30"/>
      <c r="K294" s="724">
        <f>+I294/$K$114</f>
        <v>454.72136222910206</v>
      </c>
      <c r="L294" s="53"/>
      <c r="M294" s="724">
        <f>+I294/($K$114*$I$72)</f>
        <v>11.368034055727552</v>
      </c>
      <c r="N294" s="53"/>
      <c r="O294" s="201">
        <f>+I294/($I$34+$I$38)</f>
        <v>0.33836982226565132</v>
      </c>
      <c r="P294" s="53"/>
      <c r="Q294" s="203">
        <f>+I294/($I$25*($I$34+$I$38))</f>
        <v>7.1993579205457731E-4</v>
      </c>
      <c r="R294" s="53"/>
      <c r="S294" s="98">
        <f>+I294/($I$36+$I$40)</f>
        <v>3.5528831337893392</v>
      </c>
      <c r="T294" s="239"/>
      <c r="U294" s="416">
        <f>+I294/(($I$36+$I$40)*$I$25)</f>
        <v>7.5593258165730622E-3</v>
      </c>
    </row>
    <row r="295" spans="1:21" ht="22.8">
      <c r="A295" s="46"/>
      <c r="B295" s="29"/>
      <c r="C295" s="29"/>
      <c r="D295" s="29"/>
      <c r="E295" s="29"/>
      <c r="F295" s="29"/>
      <c r="G295" s="29"/>
      <c r="H295" s="29"/>
      <c r="I295" s="891"/>
      <c r="J295" s="30"/>
      <c r="K295" s="724"/>
      <c r="L295" s="53"/>
      <c r="M295" s="53"/>
      <c r="N295" s="53"/>
      <c r="O295" s="53"/>
      <c r="P295" s="53"/>
      <c r="Q295" s="54"/>
      <c r="R295" s="53"/>
      <c r="S295" s="53"/>
      <c r="T295" s="239"/>
      <c r="U295" s="398"/>
    </row>
    <row r="296" spans="1:21" ht="22.8">
      <c r="A296" s="265" t="s">
        <v>522</v>
      </c>
      <c r="B296" s="86" t="s">
        <v>525</v>
      </c>
      <c r="C296" s="29"/>
      <c r="D296" s="29"/>
      <c r="E296" s="29"/>
      <c r="F296" s="29"/>
      <c r="G296" s="29"/>
      <c r="H296" s="29"/>
      <c r="I296" s="890">
        <f>+I164*I196+I166*I198</f>
        <v>10008727.80156658</v>
      </c>
      <c r="J296" s="30"/>
      <c r="K296" s="724">
        <f>+I296/$K$114</f>
        <v>3176.3655352480419</v>
      </c>
      <c r="L296" s="53"/>
      <c r="M296" s="724">
        <f>+I296/($K$114*$I$72)</f>
        <v>79.409138381201046</v>
      </c>
      <c r="N296" s="53"/>
      <c r="O296" s="201">
        <f>+I296/($I$34+$I$38)</f>
        <v>2.3636150198527761</v>
      </c>
      <c r="P296" s="53"/>
      <c r="Q296" s="203">
        <f>+I296/($I$25*($I$34+$I$38))</f>
        <v>5.0289681273463322E-3</v>
      </c>
      <c r="R296" s="53"/>
      <c r="S296" s="98">
        <f>+I296/($I$36+$I$40)</f>
        <v>24.817957708454152</v>
      </c>
      <c r="T296" s="239"/>
      <c r="U296" s="416">
        <f>+I296/(($I$36+$I$40)*$I$25)</f>
        <v>5.2804165337136492E-2</v>
      </c>
    </row>
    <row r="297" spans="1:21" ht="22.8">
      <c r="A297" s="46"/>
      <c r="B297" s="29"/>
      <c r="C297" s="29"/>
      <c r="D297" s="29"/>
      <c r="E297" s="29"/>
      <c r="F297" s="29"/>
      <c r="G297" s="29"/>
      <c r="H297" s="29"/>
      <c r="I297" s="891"/>
      <c r="J297" s="30"/>
      <c r="K297" s="724"/>
      <c r="L297" s="53"/>
      <c r="M297" s="53"/>
      <c r="N297" s="53"/>
      <c r="O297" s="53"/>
      <c r="P297" s="53"/>
      <c r="Q297" s="54"/>
      <c r="R297" s="53"/>
      <c r="S297" s="36"/>
      <c r="T297" s="239"/>
      <c r="U297" s="398"/>
    </row>
    <row r="298" spans="1:21" ht="22.8">
      <c r="A298" s="265" t="s">
        <v>523</v>
      </c>
      <c r="B298" s="38" t="s">
        <v>496</v>
      </c>
      <c r="C298" s="29"/>
      <c r="D298" s="29"/>
      <c r="E298" s="29"/>
      <c r="F298" s="29"/>
      <c r="G298" s="29"/>
      <c r="H298" s="29"/>
      <c r="I298" s="890">
        <f>+(I152*1000)*I200</f>
        <v>3399242.7822222225</v>
      </c>
      <c r="J298" s="30"/>
      <c r="K298" s="724">
        <f>+I298/$K$114</f>
        <v>1078.7822222222223</v>
      </c>
      <c r="L298" s="53"/>
      <c r="M298" s="724">
        <f>+I298/($K$114*$I$72)</f>
        <v>26.969555555555559</v>
      </c>
      <c r="N298" s="53"/>
      <c r="O298" s="201">
        <f>+I298/($I$34+$I$38)</f>
        <v>0.80274950577924731</v>
      </c>
      <c r="P298" s="53"/>
      <c r="Q298" s="203">
        <f>+I298/($I$25*($I$34+$I$38))</f>
        <v>1.7079776718707388E-3</v>
      </c>
      <c r="R298" s="53"/>
      <c r="S298" s="98">
        <f>+I298/($I$36+$I$40)</f>
        <v>8.4288698106820963</v>
      </c>
      <c r="T298" s="239"/>
      <c r="U298" s="416">
        <f>+I298/(($I$36+$I$40)*$I$25)</f>
        <v>1.793376555464276E-2</v>
      </c>
    </row>
    <row r="299" spans="1:21" ht="22.8">
      <c r="A299" s="46"/>
      <c r="B299" s="29"/>
      <c r="C299" s="29"/>
      <c r="D299" s="29"/>
      <c r="E299" s="29"/>
      <c r="F299" s="29"/>
      <c r="G299" s="29"/>
      <c r="H299" s="29"/>
      <c r="I299" s="891"/>
      <c r="J299" s="30"/>
      <c r="K299" s="53"/>
      <c r="L299" s="53"/>
      <c r="M299" s="53"/>
      <c r="N299" s="53"/>
      <c r="O299" s="53"/>
      <c r="P299" s="53"/>
      <c r="Q299" s="54"/>
      <c r="R299" s="53"/>
      <c r="S299" s="36"/>
      <c r="T299" s="239"/>
      <c r="U299" s="398"/>
    </row>
    <row r="300" spans="1:21" ht="22.8">
      <c r="A300" s="265" t="s">
        <v>524</v>
      </c>
      <c r="B300" s="38" t="s">
        <v>498</v>
      </c>
      <c r="C300" s="29"/>
      <c r="D300" s="29"/>
      <c r="E300" s="29"/>
      <c r="F300" s="29"/>
      <c r="G300" s="29"/>
      <c r="H300" s="29"/>
      <c r="I300" s="890">
        <f>+(I154*1000)*I202</f>
        <v>8015559.2783505162</v>
      </c>
      <c r="J300" s="30"/>
      <c r="K300" s="724">
        <f>+I300/$K$114</f>
        <v>2543.8144329896909</v>
      </c>
      <c r="L300" s="53"/>
      <c r="M300" s="724">
        <f>+I300/($K$114*$I$72)</f>
        <v>63.595360824742272</v>
      </c>
      <c r="N300" s="53"/>
      <c r="O300" s="201">
        <f>+I300/($I$34+$I$38)</f>
        <v>1.8929175294250835</v>
      </c>
      <c r="P300" s="53"/>
      <c r="Q300" s="203">
        <f>+I300/($I$25*($I$34+$I$38))</f>
        <v>4.027484105159752E-3</v>
      </c>
      <c r="R300" s="53"/>
      <c r="S300" s="98">
        <f>+I300/($I$36+$I$40)</f>
        <v>19.875634058963378</v>
      </c>
      <c r="T300" s="239"/>
      <c r="U300" s="416">
        <f>+I300/(($I$36+$I$40)*$I$25)</f>
        <v>4.22885831041774E-2</v>
      </c>
    </row>
    <row r="301" spans="1:21" ht="22.8">
      <c r="A301" s="39"/>
      <c r="B301" s="29"/>
      <c r="C301" s="29"/>
      <c r="D301" s="29"/>
      <c r="E301" s="29"/>
      <c r="F301" s="29"/>
      <c r="G301" s="29"/>
      <c r="H301" s="29"/>
      <c r="I301" s="891"/>
      <c r="J301" s="30"/>
      <c r="K301" s="53"/>
      <c r="L301" s="53"/>
      <c r="M301" s="53"/>
      <c r="N301" s="53"/>
      <c r="O301" s="53"/>
      <c r="P301" s="53"/>
      <c r="Q301" s="90"/>
      <c r="R301" s="53"/>
      <c r="S301" s="36"/>
      <c r="T301" s="239"/>
      <c r="U301" s="404"/>
    </row>
    <row r="302" spans="1:21" ht="22.8">
      <c r="A302" s="265" t="s">
        <v>538</v>
      </c>
      <c r="B302" s="38" t="s">
        <v>500</v>
      </c>
      <c r="C302" s="29"/>
      <c r="D302" s="29"/>
      <c r="E302" s="29"/>
      <c r="F302" s="29"/>
      <c r="G302" s="29"/>
      <c r="H302" s="29"/>
      <c r="I302" s="890">
        <f>+(I158*1000)*I204</f>
        <v>1796892.349687665</v>
      </c>
      <c r="J302" s="30"/>
      <c r="K302" s="724">
        <f>+I302/$K$114</f>
        <v>570.26098054194381</v>
      </c>
      <c r="L302" s="53"/>
      <c r="M302" s="724">
        <f>+I302/($K$114*$I$72)</f>
        <v>14.256524513548596</v>
      </c>
      <c r="N302" s="53"/>
      <c r="O302" s="201">
        <f>+I302/($I$34+$I$38)</f>
        <v>0.42434581407194827</v>
      </c>
      <c r="P302" s="53"/>
      <c r="Q302" s="203">
        <f>+I302/($I$25*($I$34+$I$38))</f>
        <v>9.0286343419563469E-4</v>
      </c>
      <c r="R302" s="53"/>
      <c r="S302" s="98">
        <f>+I302/($I$36+$I$40)</f>
        <v>4.4556310477554568</v>
      </c>
      <c r="T302" s="239"/>
      <c r="U302" s="416">
        <f>+I302/(($I$36+$I$40)*$I$25)</f>
        <v>9.4800660590541649E-3</v>
      </c>
    </row>
    <row r="303" spans="1:21" ht="22.8">
      <c r="A303" s="266"/>
      <c r="B303" s="38"/>
      <c r="C303" s="29"/>
      <c r="D303" s="29"/>
      <c r="E303" s="29"/>
      <c r="F303" s="29"/>
      <c r="G303" s="29"/>
      <c r="H303" s="29"/>
      <c r="I303" s="891"/>
      <c r="J303" s="30"/>
      <c r="K303" s="724"/>
      <c r="L303" s="53"/>
      <c r="M303" s="53"/>
      <c r="N303" s="53"/>
      <c r="O303" s="53"/>
      <c r="P303" s="53"/>
      <c r="Q303" s="90"/>
      <c r="R303" s="53"/>
      <c r="S303" s="36"/>
      <c r="T303" s="239"/>
      <c r="U303" s="401"/>
    </row>
    <row r="304" spans="1:21" ht="22.8">
      <c r="A304" s="265" t="s">
        <v>539</v>
      </c>
      <c r="B304" s="38" t="s">
        <v>502</v>
      </c>
      <c r="C304" s="29"/>
      <c r="D304" s="29"/>
      <c r="E304" s="29"/>
      <c r="F304" s="29"/>
      <c r="G304" s="29"/>
      <c r="H304" s="29"/>
      <c r="I304" s="890">
        <f>+K114*I72*I210</f>
        <v>0</v>
      </c>
      <c r="J304" s="30"/>
      <c r="K304" s="724">
        <f>+I304/$K$114</f>
        <v>0</v>
      </c>
      <c r="L304" s="53"/>
      <c r="M304" s="724">
        <f>+I304/($K$114*$I$72)</f>
        <v>0</v>
      </c>
      <c r="N304" s="53"/>
      <c r="O304" s="201">
        <f>+I304/($I$34+$I$38)</f>
        <v>0</v>
      </c>
      <c r="P304" s="53"/>
      <c r="Q304" s="203">
        <f>+I304/($I$25*($I$34+$I$38))</f>
        <v>0</v>
      </c>
      <c r="R304" s="53"/>
      <c r="S304" s="98">
        <f>+I304/($I$36+$I$40)</f>
        <v>0</v>
      </c>
      <c r="T304" s="239"/>
      <c r="U304" s="416">
        <f>+I304/(($I$36+$I$40)*$I$25)</f>
        <v>0</v>
      </c>
    </row>
    <row r="305" spans="1:21" ht="22.8">
      <c r="A305" s="266"/>
      <c r="B305" s="38"/>
      <c r="C305" s="29"/>
      <c r="D305" s="29"/>
      <c r="E305" s="29"/>
      <c r="F305" s="29"/>
      <c r="G305" s="29"/>
      <c r="H305" s="29"/>
      <c r="I305" s="891"/>
      <c r="J305" s="30"/>
      <c r="K305" s="724"/>
      <c r="L305" s="53"/>
      <c r="M305" s="53"/>
      <c r="N305" s="53"/>
      <c r="O305" s="53"/>
      <c r="P305" s="53"/>
      <c r="Q305" s="54"/>
      <c r="R305" s="53"/>
      <c r="S305" s="53"/>
      <c r="T305" s="239"/>
      <c r="U305" s="401"/>
    </row>
    <row r="306" spans="1:21" ht="22.8">
      <c r="A306" s="265" t="s">
        <v>540</v>
      </c>
      <c r="B306" s="38" t="s">
        <v>580</v>
      </c>
      <c r="C306" s="29"/>
      <c r="D306" s="29"/>
      <c r="E306" s="29"/>
      <c r="F306" s="29"/>
      <c r="G306" s="29"/>
      <c r="H306" s="29"/>
      <c r="I306" s="890">
        <f>+(I36+I40)*I214</f>
        <v>0</v>
      </c>
      <c r="J306" s="30"/>
      <c r="K306" s="724">
        <f>+I306/$K$114</f>
        <v>0</v>
      </c>
      <c r="L306" s="53"/>
      <c r="M306" s="724">
        <f>+I306/($K$114*$I$72)</f>
        <v>0</v>
      </c>
      <c r="N306" s="53"/>
      <c r="O306" s="201">
        <f>+I306/($I$34+$I$38)</f>
        <v>0</v>
      </c>
      <c r="P306" s="53"/>
      <c r="Q306" s="203">
        <f>+I306/($I$25*($I$34+$I$38))</f>
        <v>0</v>
      </c>
      <c r="R306" s="53"/>
      <c r="S306" s="98">
        <f>+I306/($I$36+$I$40)</f>
        <v>0</v>
      </c>
      <c r="T306" s="239"/>
      <c r="U306" s="416">
        <f>+I306/(($I$36+$I$40)*$I$25)</f>
        <v>0</v>
      </c>
    </row>
    <row r="307" spans="1:21" ht="22.8">
      <c r="A307" s="266"/>
      <c r="B307" s="38"/>
      <c r="C307" s="29"/>
      <c r="D307" s="29"/>
      <c r="E307" s="29"/>
      <c r="F307" s="29"/>
      <c r="G307" s="29"/>
      <c r="H307" s="29"/>
      <c r="I307" s="891"/>
      <c r="J307" s="30"/>
      <c r="K307" s="724"/>
      <c r="L307" s="53"/>
      <c r="M307" s="53"/>
      <c r="N307" s="53"/>
      <c r="O307" s="53"/>
      <c r="P307" s="53"/>
      <c r="Q307" s="54"/>
      <c r="R307" s="53"/>
      <c r="S307" s="53"/>
      <c r="T307" s="239"/>
      <c r="U307" s="401"/>
    </row>
    <row r="308" spans="1:21" ht="22.8">
      <c r="A308" s="265" t="s">
        <v>24</v>
      </c>
      <c r="B308" s="38" t="s">
        <v>25</v>
      </c>
      <c r="C308" s="29"/>
      <c r="D308" s="29"/>
      <c r="E308" s="29"/>
      <c r="F308" s="29"/>
      <c r="G308" s="29"/>
      <c r="H308" s="29"/>
      <c r="I308" s="890">
        <f>+I36*I216</f>
        <v>0</v>
      </c>
      <c r="J308" s="30"/>
      <c r="K308" s="724">
        <f>+I308/$K$114</f>
        <v>0</v>
      </c>
      <c r="L308" s="53"/>
      <c r="M308" s="724">
        <f>+I308/($K$114*$I$72)</f>
        <v>0</v>
      </c>
      <c r="N308" s="53"/>
      <c r="O308" s="201">
        <f>+I308/($I$34+$I$38)</f>
        <v>0</v>
      </c>
      <c r="P308" s="53"/>
      <c r="Q308" s="203">
        <f>+I308/($I$25*($I$34+$I$38))</f>
        <v>0</v>
      </c>
      <c r="R308" s="53"/>
      <c r="S308" s="98">
        <f>+I308/($I$36+$I$40)</f>
        <v>0</v>
      </c>
      <c r="T308" s="239"/>
      <c r="U308" s="416">
        <f>+I308/(($I$36+$I$40)*$I$25)</f>
        <v>0</v>
      </c>
    </row>
    <row r="309" spans="1:21" ht="22.8">
      <c r="A309" s="266"/>
      <c r="B309" s="38"/>
      <c r="C309" s="29"/>
      <c r="D309" s="29"/>
      <c r="E309" s="29"/>
      <c r="F309" s="29"/>
      <c r="G309" s="29"/>
      <c r="H309" s="29"/>
      <c r="I309" s="891"/>
      <c r="J309" s="30"/>
      <c r="K309" s="724"/>
      <c r="L309" s="53"/>
      <c r="M309" s="53"/>
      <c r="N309" s="53"/>
      <c r="O309" s="53"/>
      <c r="P309" s="53"/>
      <c r="Q309" s="54"/>
      <c r="R309" s="53"/>
      <c r="S309" s="53"/>
      <c r="T309" s="239"/>
      <c r="U309" s="401"/>
    </row>
    <row r="310" spans="1:21" ht="22.8">
      <c r="A310" s="265" t="s">
        <v>128</v>
      </c>
      <c r="B310" s="38"/>
      <c r="C310" s="45" t="s">
        <v>110</v>
      </c>
      <c r="D310" s="29"/>
      <c r="E310" s="29"/>
      <c r="F310" s="29"/>
      <c r="G310" s="29"/>
      <c r="H310" s="29"/>
      <c r="I310" s="893">
        <f>SUM(I294:I308)</f>
        <v>24653249.224210884</v>
      </c>
      <c r="J310" s="30"/>
      <c r="K310" s="720">
        <f>SUM(K294:K308)</f>
        <v>7823.9445332310006</v>
      </c>
      <c r="L310" s="53"/>
      <c r="M310" s="720">
        <f>SUM(M294:M308)</f>
        <v>195.59861333077501</v>
      </c>
      <c r="N310" s="53"/>
      <c r="O310" s="202">
        <f>SUM(O294:O308)</f>
        <v>5.8219976913947065</v>
      </c>
      <c r="P310" s="53"/>
      <c r="Q310" s="204">
        <f>SUM(Q294:Q308)</f>
        <v>1.2387229130627035E-2</v>
      </c>
      <c r="R310" s="53"/>
      <c r="S310" s="200">
        <f>SUM(S294:S308)</f>
        <v>61.130975759644429</v>
      </c>
      <c r="T310" s="239"/>
      <c r="U310" s="229">
        <f>SUM(U294:U308)</f>
        <v>0.13006590587158387</v>
      </c>
    </row>
    <row r="311" spans="1:21" ht="22.8">
      <c r="A311" s="266"/>
      <c r="B311" s="38"/>
      <c r="C311" s="29"/>
      <c r="D311" s="29"/>
      <c r="E311" s="29"/>
      <c r="F311" s="29"/>
      <c r="G311" s="29"/>
      <c r="H311" s="29"/>
      <c r="I311" s="891"/>
      <c r="J311" s="30"/>
      <c r="K311" s="724"/>
      <c r="L311" s="53"/>
      <c r="M311" s="53"/>
      <c r="N311" s="53"/>
      <c r="O311" s="53"/>
      <c r="P311" s="53"/>
      <c r="Q311" s="54"/>
      <c r="R311" s="53"/>
      <c r="S311" s="53"/>
      <c r="T311" s="239"/>
      <c r="U311" s="401"/>
    </row>
    <row r="312" spans="1:21" ht="22.8">
      <c r="A312" s="266"/>
      <c r="B312" s="38"/>
      <c r="C312" s="29"/>
      <c r="D312" s="29"/>
      <c r="E312" s="29"/>
      <c r="F312" s="29"/>
      <c r="G312" s="29"/>
      <c r="H312" s="29"/>
      <c r="I312" s="891"/>
      <c r="J312" s="30"/>
      <c r="K312" s="724"/>
      <c r="L312" s="53"/>
      <c r="M312" s="53"/>
      <c r="N312" s="53"/>
      <c r="O312" s="53"/>
      <c r="P312" s="53"/>
      <c r="Q312" s="54"/>
      <c r="R312" s="53"/>
      <c r="S312" s="53"/>
      <c r="T312" s="239"/>
      <c r="U312" s="401"/>
    </row>
    <row r="313" spans="1:21" ht="22.8">
      <c r="A313" s="273" t="s">
        <v>123</v>
      </c>
      <c r="B313" s="195" t="s">
        <v>124</v>
      </c>
      <c r="C313" s="29"/>
      <c r="D313" s="29"/>
      <c r="E313" s="29"/>
      <c r="F313" s="29"/>
      <c r="G313" s="29"/>
      <c r="H313" s="29"/>
      <c r="I313" s="891"/>
      <c r="J313" s="30"/>
      <c r="K313" s="724"/>
      <c r="L313" s="53"/>
      <c r="M313" s="53"/>
      <c r="N313" s="53"/>
      <c r="O313" s="53"/>
      <c r="P313" s="53"/>
      <c r="Q313" s="54"/>
      <c r="R313" s="53"/>
      <c r="S313" s="53"/>
      <c r="T313" s="239"/>
      <c r="U313" s="412"/>
    </row>
    <row r="314" spans="1:21" ht="22.8">
      <c r="A314" s="266"/>
      <c r="B314" s="38"/>
      <c r="C314" s="29"/>
      <c r="D314" s="29"/>
      <c r="E314" s="29"/>
      <c r="F314" s="29"/>
      <c r="G314" s="29"/>
      <c r="H314" s="29"/>
      <c r="I314" s="891"/>
      <c r="J314" s="30"/>
      <c r="K314" s="724"/>
      <c r="L314" s="53"/>
      <c r="M314" s="53"/>
      <c r="N314" s="53"/>
      <c r="O314" s="53"/>
      <c r="P314" s="53"/>
      <c r="Q314" s="54"/>
      <c r="R314" s="53"/>
      <c r="S314" s="53"/>
      <c r="T314" s="239"/>
      <c r="U314" s="401"/>
    </row>
    <row r="315" spans="1:21" ht="22.8">
      <c r="A315" s="265" t="s">
        <v>132</v>
      </c>
      <c r="B315" s="38" t="s">
        <v>511</v>
      </c>
      <c r="C315" s="29"/>
      <c r="D315" s="29"/>
      <c r="E315" s="29"/>
      <c r="F315" s="29"/>
      <c r="G315" s="29"/>
      <c r="H315" s="29"/>
      <c r="I315" s="890">
        <f>+I206*I170*I176</f>
        <v>1422565.4082931464</v>
      </c>
      <c r="J315" s="30"/>
      <c r="K315" s="724">
        <f>+I315/$K$114</f>
        <v>451.46474398386113</v>
      </c>
      <c r="L315" s="53"/>
      <c r="M315" s="724">
        <f>+I315/($K$114*$I$72)</f>
        <v>11.286618599596528</v>
      </c>
      <c r="N315" s="53"/>
      <c r="O315" s="201">
        <f>+I315/($I$34+$I$38)</f>
        <v>0.33594648914704128</v>
      </c>
      <c r="P315" s="53"/>
      <c r="Q315" s="203">
        <f>+I315/($I$25*($I$34+$I$38))</f>
        <v>7.1477976414264111E-4</v>
      </c>
      <c r="R315" s="53"/>
      <c r="S315" s="98">
        <f>+I315/($I$36+$I$40)</f>
        <v>3.527438136043934</v>
      </c>
      <c r="T315" s="239"/>
      <c r="U315" s="416">
        <f>+I315/(($I$36+$I$40)*$I$25)</f>
        <v>7.5051875234977321E-3</v>
      </c>
    </row>
    <row r="316" spans="1:21" ht="22.8">
      <c r="A316" s="266"/>
      <c r="B316" s="38"/>
      <c r="C316" s="29"/>
      <c r="D316" s="29"/>
      <c r="E316" s="29"/>
      <c r="F316" s="29"/>
      <c r="G316" s="29"/>
      <c r="H316" s="29"/>
      <c r="I316" s="891"/>
      <c r="J316" s="30"/>
      <c r="K316" s="724"/>
      <c r="L316" s="53"/>
      <c r="M316" s="53"/>
      <c r="N316" s="53"/>
      <c r="O316" s="53"/>
      <c r="P316" s="53"/>
      <c r="Q316" s="54"/>
      <c r="R316" s="53"/>
      <c r="S316" s="53"/>
      <c r="T316" s="239"/>
      <c r="U316" s="401"/>
    </row>
    <row r="317" spans="1:21" ht="22.8">
      <c r="A317" s="265" t="s">
        <v>134</v>
      </c>
      <c r="B317" s="38" t="s">
        <v>126</v>
      </c>
      <c r="C317" s="29"/>
      <c r="D317" s="29"/>
      <c r="E317" s="29"/>
      <c r="F317" s="29"/>
      <c r="G317" s="29"/>
      <c r="H317" s="29">
        <f>+I317/I174</f>
        <v>349680</v>
      </c>
      <c r="I317" s="890">
        <f>+I208*I25</f>
        <v>1398720</v>
      </c>
      <c r="J317" s="30"/>
      <c r="K317" s="724">
        <f>+I317/$K$114</f>
        <v>443.8971754998413</v>
      </c>
      <c r="L317" s="53"/>
      <c r="M317" s="724">
        <f>+I317/($K$114*$I$72)</f>
        <v>11.097429387496033</v>
      </c>
      <c r="N317" s="53"/>
      <c r="O317" s="201">
        <f>+I317/($I$34+$I$38)</f>
        <v>0.33031526744597944</v>
      </c>
      <c r="P317" s="53"/>
      <c r="Q317" s="203">
        <f>+I317/($I$25*($I$34+$I$38))</f>
        <v>7.0279844137442434E-4</v>
      </c>
      <c r="R317" s="53"/>
      <c r="S317" s="98">
        <f>+I317/($I$36+$I$40)</f>
        <v>3.4683103081827844</v>
      </c>
      <c r="T317" s="239"/>
      <c r="U317" s="416">
        <f>+I317/(($I$36+$I$40)*$I$25)</f>
        <v>7.3793836344314568E-3</v>
      </c>
    </row>
    <row r="318" spans="1:21" ht="22.8">
      <c r="A318" s="266"/>
      <c r="B318" s="38"/>
      <c r="C318" s="29"/>
      <c r="D318" s="29"/>
      <c r="E318" s="29"/>
      <c r="F318" s="29"/>
      <c r="G318" s="29"/>
      <c r="H318" s="29"/>
      <c r="I318" s="891"/>
      <c r="J318" s="30"/>
      <c r="K318" s="724"/>
      <c r="L318" s="53"/>
      <c r="M318" s="53"/>
      <c r="N318" s="53"/>
      <c r="O318" s="53"/>
      <c r="P318" s="53"/>
      <c r="Q318" s="54"/>
      <c r="R318" s="53"/>
      <c r="S318" s="53"/>
      <c r="T318" s="239"/>
      <c r="U318" s="401"/>
    </row>
    <row r="319" spans="1:21" ht="22.8">
      <c r="A319" s="265" t="s">
        <v>135</v>
      </c>
      <c r="B319" s="38" t="s">
        <v>127</v>
      </c>
      <c r="C319" s="29"/>
      <c r="D319" s="29"/>
      <c r="E319" s="29"/>
      <c r="F319" s="29"/>
      <c r="G319" s="29"/>
      <c r="H319" s="29"/>
      <c r="I319" s="890">
        <f>+I212</f>
        <v>0</v>
      </c>
      <c r="J319" s="30"/>
      <c r="K319" s="724">
        <f>+I319/$K$114</f>
        <v>0</v>
      </c>
      <c r="L319" s="53"/>
      <c r="M319" s="724">
        <f>+I319/($K$114*$I$72)</f>
        <v>0</v>
      </c>
      <c r="N319" s="53"/>
      <c r="O319" s="201">
        <f>+I319/($I$34+$I$38)</f>
        <v>0</v>
      </c>
      <c r="P319" s="53"/>
      <c r="Q319" s="203">
        <f>+I319/($I$25*($I$34+$I$38))</f>
        <v>0</v>
      </c>
      <c r="R319" s="53"/>
      <c r="S319" s="98">
        <f>+I319/($I$36+$I$40)</f>
        <v>0</v>
      </c>
      <c r="T319" s="239"/>
      <c r="U319" s="416">
        <f>+I319/(($I$36+$I$40)*$I$25)</f>
        <v>0</v>
      </c>
    </row>
    <row r="320" spans="1:21" ht="22.8">
      <c r="A320" s="266"/>
      <c r="B320" s="38"/>
      <c r="C320" s="29"/>
      <c r="D320" s="29"/>
      <c r="E320" s="29"/>
      <c r="F320" s="29"/>
      <c r="G320" s="29"/>
      <c r="H320" s="29"/>
      <c r="I320" s="891"/>
      <c r="J320" s="30"/>
      <c r="K320" s="724"/>
      <c r="L320" s="53"/>
      <c r="M320" s="53"/>
      <c r="N320" s="53"/>
      <c r="O320" s="53"/>
      <c r="P320" s="53"/>
      <c r="Q320" s="54"/>
      <c r="R320" s="53"/>
      <c r="S320" s="53"/>
      <c r="T320" s="239"/>
      <c r="U320" s="401"/>
    </row>
    <row r="321" spans="1:21" ht="22.8">
      <c r="A321" s="265" t="s">
        <v>136</v>
      </c>
      <c r="B321" s="38"/>
      <c r="C321" s="45" t="s">
        <v>130</v>
      </c>
      <c r="D321" s="29"/>
      <c r="E321" s="29"/>
      <c r="F321" s="29"/>
      <c r="G321" s="29"/>
      <c r="H321" s="29"/>
      <c r="I321" s="894">
        <f>SUM(I315:I319)</f>
        <v>2821285.4082931466</v>
      </c>
      <c r="J321" s="30"/>
      <c r="K321" s="721">
        <f>SUM(K315:K319)</f>
        <v>895.36191948370242</v>
      </c>
      <c r="L321" s="53"/>
      <c r="M321" s="721">
        <f>SUM(M315:M319)</f>
        <v>22.384047987092561</v>
      </c>
      <c r="N321" s="53"/>
      <c r="O321" s="207">
        <f>SUM(O315:O319)</f>
        <v>0.66626175659302067</v>
      </c>
      <c r="P321" s="53"/>
      <c r="Q321" s="208">
        <f>SUM(Q315:Q319)</f>
        <v>1.4175782055170655E-3</v>
      </c>
      <c r="R321" s="53"/>
      <c r="S321" s="206">
        <f>SUM(S315:S319)</f>
        <v>6.9957484442267184</v>
      </c>
      <c r="T321" s="239"/>
      <c r="U321" s="230">
        <f>SUM(U315:U319)</f>
        <v>1.488457115792919E-2</v>
      </c>
    </row>
    <row r="322" spans="1:21" ht="22.8">
      <c r="A322" s="266"/>
      <c r="B322" s="38"/>
      <c r="C322" s="29"/>
      <c r="D322" s="29"/>
      <c r="E322" s="29"/>
      <c r="F322" s="29"/>
      <c r="G322" s="29"/>
      <c r="H322" s="29"/>
      <c r="I322" s="891"/>
      <c r="J322" s="30"/>
      <c r="K322" s="724"/>
      <c r="L322" s="53"/>
      <c r="M322" s="53"/>
      <c r="N322" s="53"/>
      <c r="O322" s="53"/>
      <c r="P322" s="53"/>
      <c r="Q322" s="54"/>
      <c r="R322" s="53"/>
      <c r="S322" s="53"/>
      <c r="T322" s="239"/>
      <c r="U322" s="401"/>
    </row>
    <row r="323" spans="1:21" ht="22.8">
      <c r="A323" s="273" t="s">
        <v>129</v>
      </c>
      <c r="B323" s="210" t="s">
        <v>138</v>
      </c>
      <c r="C323" s="29"/>
      <c r="D323" s="29"/>
      <c r="E323" s="29"/>
      <c r="F323" s="29"/>
      <c r="G323" s="29"/>
      <c r="H323" s="29"/>
      <c r="I323" s="891"/>
      <c r="J323" s="30"/>
      <c r="K323" s="724"/>
      <c r="L323" s="53"/>
      <c r="M323" s="53"/>
      <c r="N323" s="53"/>
      <c r="O323" s="53"/>
      <c r="P323" s="53"/>
      <c r="Q323" s="54"/>
      <c r="R323" s="53"/>
      <c r="S323" s="53"/>
      <c r="T323" s="239"/>
      <c r="U323" s="412"/>
    </row>
    <row r="324" spans="1:21" ht="23.4" thickBot="1">
      <c r="A324" s="266"/>
      <c r="B324" s="38"/>
      <c r="C324" s="29"/>
      <c r="D324" s="29"/>
      <c r="E324" s="29"/>
      <c r="F324" s="29"/>
      <c r="G324" s="29"/>
      <c r="H324" s="29"/>
      <c r="I324" s="891"/>
      <c r="J324" s="30"/>
      <c r="K324" s="724"/>
      <c r="L324" s="53"/>
      <c r="M324" s="53"/>
      <c r="N324" s="53"/>
      <c r="O324" s="53"/>
      <c r="P324" s="53"/>
      <c r="Q324" s="54"/>
      <c r="R324" s="53"/>
      <c r="S324" s="53"/>
      <c r="T324" s="239"/>
      <c r="U324" s="401"/>
    </row>
    <row r="325" spans="1:21" ht="24" thickTop="1" thickBot="1">
      <c r="A325" s="265" t="s">
        <v>151</v>
      </c>
      <c r="B325" s="38" t="s">
        <v>139</v>
      </c>
      <c r="C325" s="29"/>
      <c r="D325" s="29"/>
      <c r="E325" s="29"/>
      <c r="F325" s="29"/>
      <c r="G325" s="220">
        <v>0.3</v>
      </c>
      <c r="H325" s="219" t="s">
        <v>140</v>
      </c>
      <c r="I325" s="890">
        <f>+(I310+I321)*G325</f>
        <v>8242360.3897512089</v>
      </c>
      <c r="J325" s="30"/>
      <c r="K325" s="724">
        <f>+I325/$K$114</f>
        <v>2615.7919358144109</v>
      </c>
      <c r="L325" s="53"/>
      <c r="M325" s="724">
        <f>+I325/($K$114*$I$72)</f>
        <v>65.394798395360269</v>
      </c>
      <c r="N325" s="53"/>
      <c r="O325" s="201">
        <f>+I325/($I$34+$I$38)</f>
        <v>1.9464778343963181</v>
      </c>
      <c r="P325" s="53"/>
      <c r="Q325" s="203">
        <f>+I325/($I$25*($I$34+$I$38))</f>
        <v>4.1414422008432296E-3</v>
      </c>
      <c r="R325" s="53"/>
      <c r="S325" s="98">
        <f>+I325/($I$36+$I$40)</f>
        <v>20.438017261161342</v>
      </c>
      <c r="T325" s="239"/>
      <c r="U325" s="416">
        <f>+I325/(($I$36+$I$40)*$I$25)</f>
        <v>4.3485143108853916E-2</v>
      </c>
    </row>
    <row r="326" spans="1:21" ht="23.4" thickTop="1">
      <c r="A326" s="266"/>
      <c r="B326" s="38"/>
      <c r="C326" s="29"/>
      <c r="D326" s="29"/>
      <c r="E326" s="29"/>
      <c r="F326" s="29"/>
      <c r="G326" s="29"/>
      <c r="H326" s="29"/>
      <c r="I326" s="891"/>
      <c r="J326" s="30"/>
      <c r="K326" s="724"/>
      <c r="L326" s="53"/>
      <c r="M326" s="53"/>
      <c r="N326" s="53"/>
      <c r="O326" s="53"/>
      <c r="P326" s="53"/>
      <c r="Q326" s="54"/>
      <c r="R326" s="53"/>
      <c r="S326" s="53"/>
      <c r="T326" s="239"/>
      <c r="U326" s="401"/>
    </row>
    <row r="327" spans="1:21" ht="22.8">
      <c r="A327" s="265" t="s">
        <v>152</v>
      </c>
      <c r="B327" s="38" t="s">
        <v>141</v>
      </c>
      <c r="C327" s="29"/>
      <c r="D327" s="29"/>
      <c r="E327" s="29"/>
      <c r="F327" s="29"/>
      <c r="G327" s="93"/>
      <c r="H327" s="87"/>
      <c r="I327" s="890">
        <f>sysdata!D239*1000000</f>
        <v>230071.55193683691</v>
      </c>
      <c r="J327" s="30"/>
      <c r="K327" s="724">
        <f>+I327/$K$114</f>
        <v>73.015408421719115</v>
      </c>
      <c r="L327" s="53"/>
      <c r="M327" s="724">
        <f>+I327/($K$114*$I$72)</f>
        <v>1.8253852105429778</v>
      </c>
      <c r="N327" s="53"/>
      <c r="O327" s="201">
        <f>+I327/($I$34+$I$38)</f>
        <v>5.4332637132326583E-2</v>
      </c>
      <c r="P327" s="53"/>
      <c r="Q327" s="203">
        <f>+I327/($I$25*($I$34+$I$38))</f>
        <v>1.1560135560069485E-4</v>
      </c>
      <c r="R327" s="53"/>
      <c r="S327" s="98">
        <f>+I327/($I$36+$I$40)</f>
        <v>0.57049268988942914</v>
      </c>
      <c r="T327" s="239"/>
      <c r="U327" s="416">
        <f>+I327/(($I$36+$I$40)*$I$25)</f>
        <v>1.2138142338072961E-3</v>
      </c>
    </row>
    <row r="328" spans="1:21" ht="22.8">
      <c r="A328" s="266"/>
      <c r="B328" s="38"/>
      <c r="C328" s="29"/>
      <c r="D328" s="29"/>
      <c r="E328" s="29"/>
      <c r="F328" s="29"/>
      <c r="G328" s="29"/>
      <c r="H328" s="87"/>
      <c r="I328" s="891"/>
      <c r="J328" s="30"/>
      <c r="K328" s="724"/>
      <c r="L328" s="53"/>
      <c r="M328" s="53"/>
      <c r="N328" s="53"/>
      <c r="O328" s="53"/>
      <c r="P328" s="53"/>
      <c r="Q328" s="54"/>
      <c r="R328" s="53"/>
      <c r="S328" s="53"/>
      <c r="T328" s="239"/>
      <c r="U328" s="401"/>
    </row>
    <row r="329" spans="1:21" ht="22.8">
      <c r="A329" s="266"/>
      <c r="B329" s="38"/>
      <c r="C329" s="45" t="s">
        <v>143</v>
      </c>
      <c r="D329" s="29"/>
      <c r="E329" s="29"/>
      <c r="F329" s="29"/>
      <c r="G329" s="29"/>
      <c r="H329" s="87"/>
      <c r="I329" s="894">
        <f>SUM(I325:I327)</f>
        <v>8472431.9416880459</v>
      </c>
      <c r="J329" s="30"/>
      <c r="K329" s="721">
        <f>SUM(K325:K327)</f>
        <v>2688.8073442361301</v>
      </c>
      <c r="L329" s="53"/>
      <c r="M329" s="721">
        <f>SUM(M325:M327)</f>
        <v>67.220183605903244</v>
      </c>
      <c r="N329" s="53"/>
      <c r="O329" s="207">
        <f>SUM(O325:O327)</f>
        <v>2.0008104715286446</v>
      </c>
      <c r="P329" s="53"/>
      <c r="Q329" s="208">
        <f>SUM(Q325:Q327)</f>
        <v>4.2570435564439242E-3</v>
      </c>
      <c r="R329" s="53"/>
      <c r="S329" s="206">
        <f>SUM(S325:S327)</f>
        <v>21.008509951050772</v>
      </c>
      <c r="T329" s="239"/>
      <c r="U329" s="230">
        <f>SUM(U325:U327)</f>
        <v>4.4698957342661209E-2</v>
      </c>
    </row>
    <row r="330" spans="1:21" ht="22.8">
      <c r="A330" s="266"/>
      <c r="B330" s="38"/>
      <c r="C330" s="29"/>
      <c r="D330" s="29"/>
      <c r="E330" s="29"/>
      <c r="F330" s="29"/>
      <c r="G330" s="29"/>
      <c r="H330" s="29"/>
      <c r="I330" s="891"/>
      <c r="J330" s="30"/>
      <c r="K330" s="724"/>
      <c r="L330" s="53"/>
      <c r="M330" s="53"/>
      <c r="N330" s="53"/>
      <c r="O330" s="53"/>
      <c r="P330" s="53"/>
      <c r="Q330" s="54"/>
      <c r="R330" s="53"/>
      <c r="S330" s="53"/>
      <c r="T330" s="239"/>
      <c r="U330" s="401"/>
    </row>
    <row r="331" spans="1:21" ht="22.8">
      <c r="A331" s="273" t="s">
        <v>142</v>
      </c>
      <c r="B331" s="210" t="s">
        <v>531</v>
      </c>
      <c r="C331" s="29"/>
      <c r="D331" s="29"/>
      <c r="E331" s="29"/>
      <c r="F331" s="29"/>
      <c r="G331" s="29"/>
      <c r="H331" s="29"/>
      <c r="I331" s="891"/>
      <c r="J331" s="30"/>
      <c r="K331" s="724"/>
      <c r="L331" s="53"/>
      <c r="M331" s="53"/>
      <c r="N331" s="53"/>
      <c r="O331" s="53"/>
      <c r="P331" s="53"/>
      <c r="Q331" s="54"/>
      <c r="R331" s="53"/>
      <c r="S331" s="53"/>
      <c r="T331" s="239"/>
      <c r="U331" s="412"/>
    </row>
    <row r="332" spans="1:21" ht="22.8">
      <c r="A332" s="266"/>
      <c r="B332" s="38"/>
      <c r="C332" s="29"/>
      <c r="D332" s="29"/>
      <c r="E332" s="29"/>
      <c r="F332" s="29"/>
      <c r="G332" s="29"/>
      <c r="H332" s="29"/>
      <c r="I332" s="891"/>
      <c r="J332" s="30"/>
      <c r="K332" s="724"/>
      <c r="L332" s="53"/>
      <c r="M332" s="53"/>
      <c r="N332" s="53"/>
      <c r="O332" s="53"/>
      <c r="P332" s="53"/>
      <c r="Q332" s="54"/>
      <c r="R332" s="53"/>
      <c r="S332" s="53"/>
      <c r="T332" s="239"/>
      <c r="U332" s="401"/>
    </row>
    <row r="333" spans="1:21" ht="22.8">
      <c r="A333" s="265" t="s">
        <v>181</v>
      </c>
      <c r="B333" s="211" t="s">
        <v>508</v>
      </c>
      <c r="C333" s="30"/>
      <c r="D333" s="29"/>
      <c r="E333" s="29"/>
      <c r="F333" s="29"/>
      <c r="G333" s="29"/>
      <c r="H333" s="29"/>
      <c r="I333" s="891"/>
      <c r="J333" s="30"/>
      <c r="K333" s="724"/>
      <c r="L333" s="53"/>
      <c r="M333" s="53"/>
      <c r="N333" s="53"/>
      <c r="O333" s="53"/>
      <c r="P333" s="53"/>
      <c r="Q333" s="54"/>
      <c r="R333" s="53"/>
      <c r="S333" s="53"/>
      <c r="T333" s="239"/>
      <c r="U333" s="400"/>
    </row>
    <row r="334" spans="1:21" ht="22.8">
      <c r="A334" s="265"/>
      <c r="B334" s="94"/>
      <c r="C334" s="30"/>
      <c r="D334" s="29"/>
      <c r="E334" s="29"/>
      <c r="F334" s="29"/>
      <c r="G334" s="29"/>
      <c r="H334" s="29"/>
      <c r="I334" s="891"/>
      <c r="J334" s="30"/>
      <c r="K334" s="724"/>
      <c r="L334" s="53"/>
      <c r="M334" s="53"/>
      <c r="N334" s="53"/>
      <c r="O334" s="53"/>
      <c r="P334" s="53"/>
      <c r="Q334" s="30"/>
      <c r="R334" s="53"/>
      <c r="S334" s="53"/>
      <c r="T334" s="239"/>
      <c r="U334" s="400"/>
    </row>
    <row r="335" spans="1:21" ht="22.8">
      <c r="A335" s="265" t="s">
        <v>191</v>
      </c>
      <c r="B335" s="38" t="s">
        <v>89</v>
      </c>
      <c r="C335" s="38"/>
      <c r="D335" s="29"/>
      <c r="E335" s="29"/>
      <c r="F335" s="29"/>
      <c r="G335" s="29"/>
      <c r="H335" s="29"/>
      <c r="I335" s="890">
        <f>+((I233*(1-I237))/I235)*(1+I239)</f>
        <v>17304787.202048589</v>
      </c>
      <c r="J335" s="30"/>
      <c r="K335" s="724">
        <f>+I335/$K$114</f>
        <v>5491.8397975400158</v>
      </c>
      <c r="L335" s="53"/>
      <c r="M335" s="724">
        <f>+I335/($K$114*$I$72)</f>
        <v>137.29599493850037</v>
      </c>
      <c r="N335" s="53"/>
      <c r="O335" s="201">
        <f>+I335/($I$34+$I$38)</f>
        <v>4.0866187748373095</v>
      </c>
      <c r="P335" s="53"/>
      <c r="Q335" s="203">
        <f>+I335/($I$25*($I$34+$I$38))</f>
        <v>8.6949335634836384E-3</v>
      </c>
      <c r="R335" s="53"/>
      <c r="S335" s="98">
        <f>+I335/($I$36+$I$40)</f>
        <v>42.909497135791753</v>
      </c>
      <c r="T335" s="239"/>
      <c r="U335" s="416">
        <f>+I335/(($I$36+$I$40)*$I$25)</f>
        <v>9.1296802416578199E-2</v>
      </c>
    </row>
    <row r="336" spans="1:21" ht="22.8">
      <c r="A336" s="265"/>
      <c r="B336" s="38"/>
      <c r="C336" s="38"/>
      <c r="D336" s="29"/>
      <c r="E336" s="29"/>
      <c r="F336" s="29"/>
      <c r="G336" s="29"/>
      <c r="H336" s="29"/>
      <c r="I336" s="890"/>
      <c r="J336" s="30"/>
      <c r="K336" s="724"/>
      <c r="L336" s="53"/>
      <c r="M336" s="724"/>
      <c r="N336" s="53"/>
      <c r="O336" s="36"/>
      <c r="P336" s="53"/>
      <c r="Q336" s="203"/>
      <c r="R336" s="53"/>
      <c r="S336" s="36"/>
      <c r="T336" s="239"/>
      <c r="U336" s="398"/>
    </row>
    <row r="337" spans="1:21" ht="22.8">
      <c r="A337" s="265" t="s">
        <v>290</v>
      </c>
      <c r="B337" s="38" t="s">
        <v>710</v>
      </c>
      <c r="C337" s="38"/>
      <c r="D337" s="29"/>
      <c r="E337" s="29"/>
      <c r="F337" s="29"/>
      <c r="G337" s="29"/>
      <c r="H337" s="29"/>
      <c r="I337" s="890">
        <f>+((I245*(1-I249))/I247)*(1+I251)</f>
        <v>607261.388286334</v>
      </c>
      <c r="J337" s="30"/>
      <c r="K337" s="724">
        <f>+I337/$K$114</f>
        <v>192.72021208706252</v>
      </c>
      <c r="L337" s="53"/>
      <c r="M337" s="724">
        <f>+I337/($K$114*$I$72)</f>
        <v>4.8180053021765632</v>
      </c>
      <c r="N337" s="53"/>
      <c r="O337" s="201">
        <f>+I337/($I$34+$I$38)</f>
        <v>0.14340805013256205</v>
      </c>
      <c r="P337" s="53"/>
      <c r="Q337" s="203">
        <f>+I337/($I$25*($I$34+$I$38))</f>
        <v>3.0512351092034479E-4</v>
      </c>
      <c r="R337" s="53"/>
      <c r="S337" s="98">
        <f>+I337/($I$36+$I$40)</f>
        <v>1.5057845263919016</v>
      </c>
      <c r="T337" s="239"/>
      <c r="U337" s="416">
        <f>+I337/(($I$36+$I$40)*$I$25)</f>
        <v>3.2037968646636203E-3</v>
      </c>
    </row>
    <row r="338" spans="1:21" ht="22.8">
      <c r="A338" s="265"/>
      <c r="B338" s="38"/>
      <c r="C338" s="38"/>
      <c r="D338" s="29"/>
      <c r="E338" s="29"/>
      <c r="F338" s="29"/>
      <c r="G338" s="29"/>
      <c r="H338" s="29"/>
      <c r="I338" s="890"/>
      <c r="J338" s="30"/>
      <c r="K338" s="724"/>
      <c r="L338" s="53"/>
      <c r="M338" s="724"/>
      <c r="N338" s="53"/>
      <c r="O338" s="36"/>
      <c r="P338" s="53"/>
      <c r="Q338" s="96"/>
      <c r="R338" s="53"/>
      <c r="S338" s="36"/>
      <c r="T338" s="239"/>
      <c r="U338" s="398"/>
    </row>
    <row r="339" spans="1:21" ht="22.8">
      <c r="A339" s="265" t="s">
        <v>291</v>
      </c>
      <c r="B339" s="209" t="s">
        <v>133</v>
      </c>
      <c r="C339" s="38"/>
      <c r="D339" s="29"/>
      <c r="E339" s="29"/>
      <c r="F339" s="29"/>
      <c r="G339" s="29"/>
      <c r="H339" s="29"/>
      <c r="I339" s="895">
        <f>SUM(I335:I338)</f>
        <v>17912048.590334922</v>
      </c>
      <c r="J339" s="30"/>
      <c r="K339" s="722">
        <f>SUM(K335:K337)</f>
        <v>5684.5600096270782</v>
      </c>
      <c r="L339" s="53"/>
      <c r="M339" s="722">
        <f>+I339/($K$114*$I$72)</f>
        <v>142.11400024067694</v>
      </c>
      <c r="N339" s="53"/>
      <c r="O339" s="213">
        <f>+I339/($I$34+$I$38)</f>
        <v>4.2300268249698716</v>
      </c>
      <c r="P339" s="53"/>
      <c r="Q339" s="214">
        <f>+I339/($I$25*($I$34+$I$38))</f>
        <v>9.0000570744039818E-3</v>
      </c>
      <c r="R339" s="53"/>
      <c r="S339" s="212">
        <f>+I339/($I$36+$I$40)</f>
        <v>44.415281662183659</v>
      </c>
      <c r="T339" s="239"/>
      <c r="U339" s="416">
        <f>+I339/(($I$36+$I$40)*$I$25)</f>
        <v>9.4500599281241826E-2</v>
      </c>
    </row>
    <row r="340" spans="1:21" ht="22.8">
      <c r="A340" s="266"/>
      <c r="B340" s="38"/>
      <c r="C340" s="29"/>
      <c r="D340" s="29"/>
      <c r="E340" s="29"/>
      <c r="F340" s="29"/>
      <c r="G340" s="29"/>
      <c r="H340" s="29"/>
      <c r="I340" s="891"/>
      <c r="J340" s="30"/>
      <c r="K340" s="724"/>
      <c r="L340" s="53"/>
      <c r="M340" s="53"/>
      <c r="N340" s="53"/>
      <c r="O340" s="53"/>
      <c r="P340" s="53"/>
      <c r="Q340" s="54"/>
      <c r="R340" s="53"/>
      <c r="S340" s="53"/>
      <c r="T340" s="239"/>
      <c r="U340" s="398"/>
    </row>
    <row r="341" spans="1:21" ht="22.8">
      <c r="A341" s="265" t="s">
        <v>292</v>
      </c>
      <c r="B341" s="211" t="s">
        <v>189</v>
      </c>
      <c r="C341" s="29"/>
      <c r="D341" s="29"/>
      <c r="E341" s="29"/>
      <c r="F341" s="29"/>
      <c r="G341" s="29"/>
      <c r="H341" s="29"/>
      <c r="I341" s="895">
        <f>+((K142*(I255*(1-I259))/I257))*(1+I261)</f>
        <v>1284000</v>
      </c>
      <c r="J341" s="196"/>
      <c r="K341" s="725">
        <f>+I341/$K$114</f>
        <v>407.48968581402727</v>
      </c>
      <c r="L341" s="216"/>
      <c r="M341" s="725">
        <f>+I341/($K$114*$I$72)</f>
        <v>10.187242145350682</v>
      </c>
      <c r="N341" s="216"/>
      <c r="O341" s="217">
        <f>+I341/($I$34+$I$38)</f>
        <v>0.30322352107686856</v>
      </c>
      <c r="P341" s="216"/>
      <c r="Q341" s="218">
        <f>+I341/($I$25*($I$34+$I$38))</f>
        <v>6.4515642782312461E-4</v>
      </c>
      <c r="R341" s="216"/>
      <c r="S341" s="215">
        <f>+I341/($I$36+$I$40)</f>
        <v>3.1838469713071205</v>
      </c>
      <c r="T341" s="240"/>
      <c r="U341" s="416">
        <f>+I341/(($I$36+$I$40)*$I$25)</f>
        <v>6.7741424921428095E-3</v>
      </c>
    </row>
    <row r="342" spans="1:21" ht="22.8">
      <c r="A342" s="265"/>
      <c r="B342" s="211"/>
      <c r="C342" s="29"/>
      <c r="D342" s="29"/>
      <c r="E342" s="29"/>
      <c r="F342" s="29"/>
      <c r="G342" s="29"/>
      <c r="H342" s="29"/>
      <c r="I342" s="891"/>
      <c r="J342" s="30"/>
      <c r="K342" s="726"/>
      <c r="L342" s="53"/>
      <c r="M342" s="726"/>
      <c r="N342" s="53"/>
      <c r="O342" s="36"/>
      <c r="P342" s="53"/>
      <c r="Q342" s="36"/>
      <c r="R342" s="53"/>
      <c r="S342" s="36"/>
      <c r="T342" s="239"/>
      <c r="U342" s="404"/>
    </row>
    <row r="343" spans="1:21" ht="22.8">
      <c r="A343" s="265" t="s">
        <v>258</v>
      </c>
      <c r="B343" s="211" t="s">
        <v>188</v>
      </c>
      <c r="C343" s="29"/>
      <c r="D343" s="29"/>
      <c r="E343" s="29"/>
      <c r="F343" s="29"/>
      <c r="G343" s="29"/>
      <c r="H343" s="29"/>
      <c r="I343" s="890">
        <f>+(I144*(I263*(1-I267))/I265)</f>
        <v>0</v>
      </c>
      <c r="J343" s="30"/>
      <c r="K343" s="725">
        <f>+I343/$K$114</f>
        <v>0</v>
      </c>
      <c r="L343" s="216"/>
      <c r="M343" s="725">
        <f>+I343/($K$114*$I$72)</f>
        <v>0</v>
      </c>
      <c r="N343" s="216"/>
      <c r="O343" s="217">
        <f>+I343/($I$34+$I$38)</f>
        <v>0</v>
      </c>
      <c r="P343" s="216"/>
      <c r="Q343" s="218">
        <f>+I343/($I$25*($I$34+$I$38))</f>
        <v>0</v>
      </c>
      <c r="R343" s="216"/>
      <c r="S343" s="215">
        <f>+I343/($I$36+$I$40)</f>
        <v>0</v>
      </c>
      <c r="T343" s="240"/>
      <c r="U343" s="416">
        <f>+I343/(($I$36+$I$40)*$I$25)</f>
        <v>0</v>
      </c>
    </row>
    <row r="344" spans="1:21" ht="22.8">
      <c r="A344" s="265"/>
      <c r="B344" s="211"/>
      <c r="C344" s="29"/>
      <c r="D344" s="29"/>
      <c r="E344" s="29"/>
      <c r="F344" s="29"/>
      <c r="G344" s="29"/>
      <c r="H344" s="29"/>
      <c r="I344" s="891"/>
      <c r="J344" s="30"/>
      <c r="K344" s="726"/>
      <c r="L344" s="53"/>
      <c r="M344" s="726"/>
      <c r="N344" s="53"/>
      <c r="O344" s="36"/>
      <c r="P344" s="53"/>
      <c r="Q344" s="36"/>
      <c r="R344" s="53"/>
      <c r="S344" s="36"/>
      <c r="T344" s="239"/>
      <c r="U344" s="401"/>
    </row>
    <row r="345" spans="1:21" ht="22.8">
      <c r="A345" s="265" t="s">
        <v>159</v>
      </c>
      <c r="B345" s="211" t="s">
        <v>506</v>
      </c>
      <c r="C345" s="29"/>
      <c r="D345" s="29"/>
      <c r="E345" s="29"/>
      <c r="F345" s="29"/>
      <c r="G345" s="29"/>
      <c r="H345" s="29"/>
      <c r="I345" s="895">
        <f>+((K148*(I273*(1-I277))/I275))*(1+I279)</f>
        <v>1926000</v>
      </c>
      <c r="J345" s="30"/>
      <c r="K345" s="725">
        <f>+I345/$K$114</f>
        <v>611.23452872104099</v>
      </c>
      <c r="L345" s="53"/>
      <c r="M345" s="725">
        <f>+I345/($K$114*$I$72)</f>
        <v>15.280863218026024</v>
      </c>
      <c r="N345" s="53"/>
      <c r="O345" s="217">
        <f>+I345/($I$34+$I$38)</f>
        <v>0.45483528161530284</v>
      </c>
      <c r="P345" s="53"/>
      <c r="Q345" s="218">
        <f>+I345/($I$25*($I$34+$I$38))</f>
        <v>9.6773464173468692E-4</v>
      </c>
      <c r="R345" s="53"/>
      <c r="S345" s="215">
        <f>+I345/($I$36+$I$40)</f>
        <v>4.7757704569606805</v>
      </c>
      <c r="T345" s="239"/>
      <c r="U345" s="416">
        <f>+I345/(($I$36+$I$40)*$I$25)</f>
        <v>1.0161213738214214E-2</v>
      </c>
    </row>
    <row r="346" spans="1:21" ht="22.8">
      <c r="A346" s="46"/>
      <c r="B346" s="29"/>
      <c r="C346" s="29"/>
      <c r="D346" s="29"/>
      <c r="E346" s="29"/>
      <c r="F346" s="29"/>
      <c r="G346" s="29"/>
      <c r="H346" s="29"/>
      <c r="I346" s="891"/>
      <c r="J346" s="30"/>
      <c r="K346" s="53"/>
      <c r="L346" s="53"/>
      <c r="M346" s="53"/>
      <c r="N346" s="53"/>
      <c r="O346" s="53"/>
      <c r="P346" s="53"/>
      <c r="Q346" s="54"/>
      <c r="R346" s="53"/>
      <c r="S346" s="53"/>
      <c r="T346" s="239"/>
      <c r="U346" s="398"/>
    </row>
    <row r="347" spans="1:21" ht="22.8">
      <c r="A347" s="265" t="s">
        <v>160</v>
      </c>
      <c r="B347" s="29"/>
      <c r="C347" s="45" t="s">
        <v>137</v>
      </c>
      <c r="D347" s="29"/>
      <c r="E347" s="29"/>
      <c r="F347" s="29"/>
      <c r="G347" s="29"/>
      <c r="H347" s="29"/>
      <c r="I347" s="894">
        <f>SUM(I339:I345)</f>
        <v>21122048.590334922</v>
      </c>
      <c r="J347" s="30"/>
      <c r="K347" s="721">
        <f>SUM(K339:K345)</f>
        <v>6703.2842241621465</v>
      </c>
      <c r="L347" s="53"/>
      <c r="M347" s="721">
        <f>+M339+M341+M343+M345</f>
        <v>167.58210560405365</v>
      </c>
      <c r="N347" s="53"/>
      <c r="O347" s="207">
        <f>+O339+O341+O343+O345</f>
        <v>4.9880856276620431</v>
      </c>
      <c r="P347" s="53"/>
      <c r="Q347" s="208">
        <f>+Q339+Q341+Q343+Q345</f>
        <v>1.0612948143961794E-2</v>
      </c>
      <c r="R347" s="53"/>
      <c r="S347" s="206">
        <f>+S339+S341+S343+S345</f>
        <v>52.374899090451457</v>
      </c>
      <c r="T347" s="239"/>
      <c r="U347" s="230">
        <f>+U339+U341+U343+U345</f>
        <v>0.11143595551159885</v>
      </c>
    </row>
    <row r="348" spans="1:21" ht="17.399999999999999">
      <c r="A348" s="274"/>
      <c r="B348" s="55"/>
      <c r="C348" s="56"/>
      <c r="D348" s="56"/>
      <c r="E348" s="56"/>
      <c r="F348" s="56"/>
      <c r="G348" s="56"/>
      <c r="H348" s="56"/>
      <c r="I348" s="891"/>
      <c r="J348" s="30"/>
      <c r="K348" s="727"/>
      <c r="L348" s="727"/>
      <c r="M348" s="727"/>
      <c r="N348" s="56"/>
      <c r="O348" s="57"/>
      <c r="P348" s="57"/>
      <c r="Q348" s="56"/>
      <c r="R348" s="56"/>
      <c r="S348" s="56"/>
      <c r="T348" s="241"/>
      <c r="U348" s="413"/>
    </row>
    <row r="349" spans="1:21" ht="24.6">
      <c r="A349" s="275" t="s">
        <v>293</v>
      </c>
      <c r="B349" s="55"/>
      <c r="C349" s="56"/>
      <c r="D349" s="56"/>
      <c r="E349" s="56"/>
      <c r="F349" s="56"/>
      <c r="G349" s="56"/>
      <c r="H349" s="56"/>
      <c r="I349" s="896">
        <f>I347+I329+I321+I310</f>
        <v>57069015.164526999</v>
      </c>
      <c r="J349" s="30"/>
      <c r="K349" s="723">
        <f>K347+K329+K321+K310</f>
        <v>18111.398021112982</v>
      </c>
      <c r="L349" s="727"/>
      <c r="M349" s="723">
        <f>M347+M329+M321+M310</f>
        <v>452.78495052782444</v>
      </c>
      <c r="N349" s="56"/>
      <c r="O349" s="222">
        <f>O347+O329+O321+O310</f>
        <v>13.477155547178416</v>
      </c>
      <c r="P349" s="57"/>
      <c r="Q349" s="223">
        <f>Q347+Q329+Q321+Q310</f>
        <v>2.867479903654982E-2</v>
      </c>
      <c r="R349" s="56"/>
      <c r="S349" s="221">
        <f>+S347+S329+S321+S310</f>
        <v>141.51013324537337</v>
      </c>
      <c r="T349" s="241"/>
      <c r="U349" s="236">
        <f>U347+U329+U321+U310</f>
        <v>0.30108538988377309</v>
      </c>
    </row>
    <row r="350" spans="1:21" ht="25.2" thickBot="1">
      <c r="A350" s="275"/>
      <c r="B350" s="55"/>
      <c r="C350" s="56"/>
      <c r="D350" s="56"/>
      <c r="E350" s="56"/>
      <c r="F350" s="56"/>
      <c r="G350" s="56"/>
      <c r="H350" s="56"/>
      <c r="I350" s="896"/>
      <c r="J350" s="30"/>
      <c r="K350" s="723"/>
      <c r="L350" s="727"/>
      <c r="M350" s="723"/>
      <c r="N350" s="56"/>
      <c r="O350" s="222"/>
      <c r="P350" s="57"/>
      <c r="Q350" s="223"/>
      <c r="R350" s="56"/>
      <c r="S350" s="221"/>
      <c r="T350" s="241"/>
      <c r="U350" s="236"/>
    </row>
    <row r="351" spans="1:21" ht="25.8" thickTop="1" thickBot="1">
      <c r="A351" s="428" t="s">
        <v>937</v>
      </c>
      <c r="B351" s="429"/>
      <c r="C351" s="430"/>
      <c r="D351" s="430"/>
      <c r="E351" s="430"/>
      <c r="F351" s="430"/>
      <c r="G351" s="430"/>
      <c r="H351" s="430"/>
      <c r="I351" s="938">
        <f>+I310</f>
        <v>24653249.224210884</v>
      </c>
      <c r="J351" s="418"/>
      <c r="K351" s="728">
        <f>+I351/$K$114</f>
        <v>7823.9445332310015</v>
      </c>
      <c r="L351" s="729"/>
      <c r="M351" s="728">
        <f>+K351/$I$72</f>
        <v>195.59861333077504</v>
      </c>
      <c r="N351" s="430"/>
      <c r="O351" s="431">
        <f>+K351/$I$112</f>
        <v>6.7540957641842203</v>
      </c>
      <c r="P351" s="418"/>
      <c r="Q351" s="432">
        <f>+O351/$I$25</f>
        <v>1.4370416519540895E-2</v>
      </c>
      <c r="R351" s="430"/>
      <c r="S351" s="431">
        <f>+K351/$I$106</f>
        <v>61.124566665867199</v>
      </c>
      <c r="T351" s="433"/>
      <c r="U351" s="434">
        <f>+S351/$I$25</f>
        <v>0.13005226950184509</v>
      </c>
    </row>
    <row r="352" spans="1:21" ht="25.8" thickTop="1" thickBot="1">
      <c r="A352" s="291"/>
      <c r="B352" s="253"/>
      <c r="C352" s="253"/>
      <c r="D352" s="253"/>
      <c r="E352" s="253"/>
      <c r="F352" s="253"/>
      <c r="G352" s="253"/>
      <c r="H352" s="253"/>
      <c r="I352" s="939"/>
      <c r="J352" s="715"/>
      <c r="K352" s="730"/>
      <c r="L352" s="731"/>
      <c r="M352" s="730"/>
      <c r="N352" s="714"/>
      <c r="O352" s="716"/>
      <c r="P352" s="715"/>
      <c r="Q352" s="717"/>
      <c r="R352" s="714"/>
      <c r="S352" s="716"/>
      <c r="T352" s="445"/>
      <c r="U352" s="718"/>
    </row>
    <row r="353" spans="1:21" ht="25.8" thickTop="1" thickBot="1">
      <c r="A353" s="732" t="s">
        <v>915</v>
      </c>
      <c r="B353" s="733"/>
      <c r="C353" s="734"/>
      <c r="D353" s="734"/>
      <c r="E353" s="734"/>
      <c r="F353" s="734"/>
      <c r="G353" s="734"/>
      <c r="H353" s="734"/>
      <c r="I353" s="940">
        <f>+I351+I341+I343+I345</f>
        <v>27863249.224210884</v>
      </c>
      <c r="J353" s="735"/>
      <c r="K353" s="736">
        <f>+I353/$K$114</f>
        <v>8842.6687477660689</v>
      </c>
      <c r="L353" s="737"/>
      <c r="M353" s="736">
        <f>+K353/$I$72</f>
        <v>221.06671869415172</v>
      </c>
      <c r="N353" s="734"/>
      <c r="O353" s="738">
        <f>+K353/$I$112</f>
        <v>7.6335192919251282</v>
      </c>
      <c r="P353" s="735"/>
      <c r="Q353" s="739">
        <f>+O353/$I$25</f>
        <v>1.6241530408351336E-2</v>
      </c>
      <c r="R353" s="734"/>
      <c r="S353" s="738">
        <f>+K353/$I$106</f>
        <v>69.083349591922413</v>
      </c>
      <c r="T353" s="740"/>
      <c r="U353" s="741">
        <f>+S353/$I$25</f>
        <v>0.14698585019557961</v>
      </c>
    </row>
    <row r="354" spans="1:21" ht="25.8" thickTop="1" thickBot="1">
      <c r="A354" s="712"/>
      <c r="B354" s="713"/>
      <c r="C354" s="714"/>
      <c r="D354" s="714"/>
      <c r="E354" s="714"/>
      <c r="F354" s="714"/>
      <c r="G354" s="714"/>
      <c r="H354" s="714"/>
      <c r="I354" s="939"/>
      <c r="J354" s="715"/>
      <c r="K354" s="444"/>
      <c r="L354" s="714"/>
      <c r="M354" s="444"/>
      <c r="N354" s="714"/>
      <c r="O354" s="716"/>
      <c r="P354" s="715"/>
      <c r="Q354" s="717"/>
      <c r="R354" s="714"/>
      <c r="S354" s="716"/>
      <c r="T354" s="445"/>
      <c r="U354" s="719"/>
    </row>
    <row r="355" spans="1:21" ht="25.8" thickTop="1" thickBot="1">
      <c r="A355" s="742" t="s">
        <v>938</v>
      </c>
      <c r="B355" s="743"/>
      <c r="C355" s="744"/>
      <c r="D355" s="744"/>
      <c r="E355" s="744"/>
      <c r="F355" s="744"/>
      <c r="G355" s="744"/>
      <c r="H355" s="744"/>
      <c r="I355" s="941">
        <f>+I353+I339+I321+I329</f>
        <v>57069015.164526999</v>
      </c>
      <c r="J355" s="745"/>
      <c r="K355" s="746">
        <f>+I355/$K$114</f>
        <v>18111.398021112978</v>
      </c>
      <c r="L355" s="747"/>
      <c r="M355" s="746">
        <f>+K355/$I$72</f>
        <v>452.78495052782444</v>
      </c>
      <c r="N355" s="744"/>
      <c r="O355" s="748">
        <f>+K355/$I$112</f>
        <v>15.63483945192764</v>
      </c>
      <c r="P355" s="745"/>
      <c r="Q355" s="749">
        <f>+O355/$I$25</f>
        <v>3.3265615855165194E-2</v>
      </c>
      <c r="R355" s="744"/>
      <c r="S355" s="748">
        <f>+K355/$I$106</f>
        <v>141.49529703994514</v>
      </c>
      <c r="T355" s="750"/>
      <c r="U355" s="751">
        <f>+S355/$I$25</f>
        <v>0.30105382348924498</v>
      </c>
    </row>
    <row r="356" spans="1:21" ht="25.8" thickTop="1" thickBot="1">
      <c r="A356" s="275"/>
      <c r="B356" s="55"/>
      <c r="C356" s="56"/>
      <c r="D356" s="56"/>
      <c r="E356" s="56"/>
      <c r="F356" s="56"/>
      <c r="G356" s="56"/>
      <c r="H356" s="56"/>
      <c r="I356" s="896"/>
      <c r="J356" s="30"/>
      <c r="K356" s="221"/>
      <c r="L356" s="56"/>
      <c r="M356" s="221"/>
      <c r="N356" s="56"/>
      <c r="O356" s="222"/>
      <c r="P356" s="57"/>
      <c r="Q356" s="223"/>
      <c r="R356" s="56"/>
      <c r="S356" s="221"/>
      <c r="T356" s="241"/>
      <c r="U356" s="236"/>
    </row>
    <row r="357" spans="1:21" ht="23.4" thickTop="1">
      <c r="A357" s="278" t="s">
        <v>156</v>
      </c>
      <c r="B357" s="279"/>
      <c r="C357" s="279"/>
      <c r="D357" s="279"/>
      <c r="E357" s="279"/>
      <c r="F357" s="279"/>
      <c r="G357" s="279"/>
      <c r="H357" s="279"/>
      <c r="I357" s="942"/>
      <c r="J357" s="281"/>
      <c r="K357" s="282"/>
      <c r="L357" s="282"/>
      <c r="M357" s="282"/>
      <c r="N357" s="282"/>
      <c r="O357" s="282"/>
      <c r="P357" s="282"/>
      <c r="Q357" s="282"/>
      <c r="R357" s="282"/>
      <c r="S357" s="282"/>
      <c r="T357" s="283"/>
      <c r="U357" s="387"/>
    </row>
    <row r="358" spans="1:21">
      <c r="A358" s="276"/>
      <c r="B358" s="30"/>
      <c r="C358" s="30"/>
      <c r="D358" s="30"/>
      <c r="E358" s="30"/>
      <c r="F358" s="30"/>
      <c r="G358" s="30"/>
      <c r="H358" s="30"/>
      <c r="I358" s="891"/>
      <c r="J358" s="30"/>
      <c r="K358" s="30"/>
      <c r="L358" s="30"/>
      <c r="M358" s="30"/>
      <c r="N358" s="30"/>
      <c r="O358" s="30"/>
      <c r="P358" s="30"/>
      <c r="Q358" s="28"/>
      <c r="R358" s="28"/>
      <c r="S358" s="28"/>
      <c r="T358" s="28"/>
      <c r="U358" s="414"/>
    </row>
    <row r="359" spans="1:21" ht="25.2">
      <c r="A359" s="377" t="str">
        <f>+$G$5</f>
        <v>COSTING SUBJECT:</v>
      </c>
      <c r="B359" s="378"/>
      <c r="C359" s="379"/>
      <c r="D359" s="380"/>
      <c r="E359" s="381"/>
      <c r="F359" s="97" t="str">
        <f>+$J$5</f>
        <v>Double Stack Container Block Train Service, Line 1, Station "A" to Station "E"</v>
      </c>
      <c r="G359" s="29"/>
      <c r="H359" s="29"/>
      <c r="I359" s="897"/>
      <c r="J359" s="91"/>
      <c r="K359" s="29"/>
      <c r="L359" s="30"/>
      <c r="M359" s="30"/>
      <c r="N359" s="30"/>
      <c r="O359" s="30"/>
      <c r="P359" s="30"/>
      <c r="Q359" s="385"/>
      <c r="R359" s="28"/>
      <c r="S359" s="28"/>
      <c r="T359" s="28"/>
      <c r="U359" s="409"/>
    </row>
    <row r="360" spans="1:21" ht="27.6">
      <c r="A360" s="377"/>
      <c r="B360" s="378"/>
      <c r="C360" s="379"/>
      <c r="D360" s="380"/>
      <c r="E360" s="381"/>
      <c r="F360" s="382"/>
      <c r="G360" s="375"/>
      <c r="H360" s="375"/>
      <c r="I360" s="943"/>
      <c r="J360" s="91"/>
      <c r="K360" s="29"/>
      <c r="L360" s="30"/>
      <c r="M360" s="30"/>
      <c r="N360" s="30"/>
      <c r="O360" s="30"/>
      <c r="P360" s="30"/>
      <c r="Q360" s="28"/>
      <c r="R360" s="28"/>
      <c r="S360" s="28"/>
      <c r="T360" s="28"/>
      <c r="U360" s="409"/>
    </row>
    <row r="361" spans="1:21" ht="27.6">
      <c r="A361" s="377"/>
      <c r="B361" s="378"/>
      <c r="C361" s="379"/>
      <c r="D361" s="380"/>
      <c r="E361" s="381"/>
      <c r="F361" s="382"/>
      <c r="G361" s="375"/>
      <c r="H361" s="375"/>
      <c r="I361" s="943"/>
      <c r="J361" s="91"/>
      <c r="K361" s="29"/>
      <c r="L361" s="30"/>
      <c r="M361" s="30"/>
      <c r="N361" s="30"/>
      <c r="O361" s="30"/>
      <c r="P361" s="30"/>
      <c r="Q361" s="28"/>
      <c r="R361" s="28"/>
      <c r="S361" s="28"/>
      <c r="T361" s="28"/>
      <c r="U361" s="409"/>
    </row>
    <row r="362" spans="1:21" ht="25.2">
      <c r="A362" s="377" t="str">
        <f>+$G$7</f>
        <v>COSTING PREPARED BY:</v>
      </c>
      <c r="B362" s="378"/>
      <c r="C362" s="379"/>
      <c r="D362" s="380"/>
      <c r="E362" s="381"/>
      <c r="F362" s="373" t="str">
        <f>+$J$7</f>
        <v>P J Hodgkinson</v>
      </c>
      <c r="G362" s="29"/>
      <c r="H362" s="29"/>
      <c r="I362" s="897"/>
      <c r="J362" s="91"/>
      <c r="K362" s="29"/>
      <c r="L362" s="30"/>
      <c r="M362" s="30"/>
      <c r="N362" s="30"/>
      <c r="O362" s="30"/>
      <c r="P362" s="30"/>
      <c r="Q362" s="28"/>
      <c r="R362" s="28"/>
      <c r="S362" s="28"/>
      <c r="T362" s="28"/>
      <c r="U362" s="409"/>
    </row>
    <row r="363" spans="1:21" ht="25.2">
      <c r="A363" s="377" t="str">
        <f>+$G$9</f>
        <v>DATE:</v>
      </c>
      <c r="B363" s="378"/>
      <c r="C363" s="379"/>
      <c r="D363" s="380"/>
      <c r="E363" s="381"/>
      <c r="F363" s="30"/>
      <c r="G363" s="376">
        <f ca="1">+$J$9</f>
        <v>42149</v>
      </c>
      <c r="H363" s="29"/>
      <c r="I363" s="897"/>
      <c r="J363" s="91"/>
      <c r="K363" s="29"/>
      <c r="L363" s="30"/>
      <c r="M363" s="30"/>
      <c r="N363" s="30"/>
      <c r="O363" s="30"/>
      <c r="P363" s="30"/>
      <c r="Q363" s="28"/>
      <c r="R363" s="28"/>
      <c r="S363" s="28"/>
      <c r="T363" s="28"/>
      <c r="U363" s="409"/>
    </row>
    <row r="364" spans="1:21">
      <c r="A364" s="276"/>
      <c r="B364" s="30"/>
      <c r="C364" s="30"/>
      <c r="D364" s="30"/>
      <c r="E364" s="30"/>
      <c r="F364" s="30"/>
      <c r="G364" s="30"/>
      <c r="H364" s="30"/>
      <c r="I364" s="891"/>
      <c r="J364" s="30"/>
      <c r="K364" s="30"/>
      <c r="L364" s="30"/>
      <c r="M364" s="30"/>
      <c r="N364" s="30"/>
      <c r="O364" s="30"/>
      <c r="P364" s="30"/>
      <c r="Q364" s="28"/>
      <c r="R364" s="28"/>
      <c r="S364" s="28"/>
      <c r="T364" s="28"/>
      <c r="U364" s="414"/>
    </row>
    <row r="365" spans="1:21">
      <c r="A365" s="276"/>
      <c r="B365" s="30"/>
      <c r="C365" s="30"/>
      <c r="D365" s="30"/>
      <c r="E365" s="30"/>
      <c r="F365" s="30"/>
      <c r="G365" s="30"/>
      <c r="H365" s="30"/>
      <c r="I365" s="891"/>
      <c r="J365" s="30"/>
      <c r="K365" s="30"/>
      <c r="L365" s="30"/>
      <c r="M365" s="30"/>
      <c r="N365" s="30"/>
      <c r="O365" s="30"/>
      <c r="P365" s="30"/>
      <c r="Q365" s="28"/>
      <c r="R365" s="28"/>
      <c r="S365" s="28"/>
      <c r="T365" s="28"/>
      <c r="U365" s="414"/>
    </row>
    <row r="366" spans="1:21" ht="24.6">
      <c r="A366" s="293" t="s">
        <v>153</v>
      </c>
      <c r="B366" s="294" t="s">
        <v>154</v>
      </c>
      <c r="C366" s="294"/>
      <c r="D366" s="294"/>
      <c r="E366" s="294"/>
      <c r="F366" s="295"/>
      <c r="G366" s="29"/>
      <c r="H366" s="29"/>
      <c r="I366" s="892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37"/>
      <c r="U366" s="410"/>
    </row>
    <row r="367" spans="1:21" ht="22.8">
      <c r="A367" s="46"/>
      <c r="B367" s="29"/>
      <c r="C367" s="29"/>
      <c r="D367" s="29"/>
      <c r="E367" s="29"/>
      <c r="F367" s="29"/>
      <c r="G367" s="29"/>
      <c r="H367" s="29"/>
      <c r="I367" s="944" t="s">
        <v>107</v>
      </c>
      <c r="J367" s="30"/>
      <c r="K367" s="51" t="s">
        <v>105</v>
      </c>
      <c r="L367" s="30"/>
      <c r="M367" s="52" t="s">
        <v>488</v>
      </c>
      <c r="N367" s="52"/>
      <c r="O367" s="52" t="s">
        <v>489</v>
      </c>
      <c r="P367" s="30"/>
      <c r="Q367" s="52" t="s">
        <v>489</v>
      </c>
      <c r="R367" s="52"/>
      <c r="S367" s="52" t="s">
        <v>490</v>
      </c>
      <c r="T367" s="238" t="s">
        <v>352</v>
      </c>
      <c r="U367" s="398"/>
    </row>
    <row r="368" spans="1:21" ht="22.8">
      <c r="A368" s="272" t="s">
        <v>155</v>
      </c>
      <c r="B368" s="195" t="s">
        <v>103</v>
      </c>
      <c r="C368" s="29"/>
      <c r="D368" s="29"/>
      <c r="E368" s="29"/>
      <c r="F368" s="29"/>
      <c r="G368" s="29"/>
      <c r="H368" s="29"/>
      <c r="I368" s="899"/>
      <c r="J368" s="30"/>
      <c r="K368" s="52" t="s">
        <v>106</v>
      </c>
      <c r="L368" s="29"/>
      <c r="M368" s="52" t="s">
        <v>491</v>
      </c>
      <c r="N368" s="29"/>
      <c r="O368" s="52" t="s">
        <v>104</v>
      </c>
      <c r="P368" s="35"/>
      <c r="Q368" s="52" t="s">
        <v>537</v>
      </c>
      <c r="R368" s="29"/>
      <c r="S368" s="29"/>
      <c r="T368" s="91"/>
      <c r="U368" s="411"/>
    </row>
    <row r="369" spans="1:21" ht="22.8">
      <c r="A369" s="46"/>
      <c r="B369" s="29"/>
      <c r="C369" s="29"/>
      <c r="D369" s="29"/>
      <c r="E369" s="29"/>
      <c r="F369" s="29"/>
      <c r="G369" s="29"/>
      <c r="H369" s="29"/>
      <c r="I369" s="899"/>
      <c r="J369" s="30"/>
      <c r="K369" s="52"/>
      <c r="L369" s="29"/>
      <c r="M369" s="52"/>
      <c r="N369" s="29"/>
      <c r="O369" s="52"/>
      <c r="P369" s="35"/>
      <c r="Q369" s="52"/>
      <c r="R369" s="29"/>
      <c r="S369" s="29"/>
      <c r="T369" s="91"/>
      <c r="U369" s="398"/>
    </row>
    <row r="370" spans="1:21" ht="22.8">
      <c r="A370" s="265" t="s">
        <v>162</v>
      </c>
      <c r="B370" s="38" t="s">
        <v>493</v>
      </c>
      <c r="C370" s="29"/>
      <c r="D370" s="29"/>
      <c r="E370" s="29"/>
      <c r="F370" s="29"/>
      <c r="G370" s="29"/>
      <c r="H370" s="29"/>
      <c r="I370" s="890">
        <f>+I132*M194</f>
        <v>1249817.9547273898</v>
      </c>
      <c r="J370" s="30"/>
      <c r="K370" s="892">
        <f>+I370/$K$114</f>
        <v>396.64168667959058</v>
      </c>
      <c r="L370" s="53"/>
      <c r="M370" s="892">
        <f>+I370/($K$114*$I$72)</f>
        <v>9.9160421669897634</v>
      </c>
      <c r="N370" s="53"/>
      <c r="O370" s="201">
        <f>+I370/($I$34+$I$38)</f>
        <v>0.29515124683608213</v>
      </c>
      <c r="P370" s="53"/>
      <c r="Q370" s="203">
        <f>+I370/($I$25*($I$34+$I$38))</f>
        <v>6.2798137624698333E-4</v>
      </c>
      <c r="R370" s="53"/>
      <c r="S370" s="98">
        <f>+I370/($I$36+$I$40)</f>
        <v>3.0990880917788628</v>
      </c>
      <c r="T370" s="239"/>
      <c r="U370" s="416">
        <f>+I370/(($I$36+$I$40)*$I$25)</f>
        <v>6.5938044505933248E-3</v>
      </c>
    </row>
    <row r="371" spans="1:21" ht="22.8">
      <c r="A371" s="46"/>
      <c r="B371" s="29"/>
      <c r="C371" s="29"/>
      <c r="D371" s="29"/>
      <c r="E371" s="29"/>
      <c r="F371" s="29"/>
      <c r="G371" s="29"/>
      <c r="H371" s="29"/>
      <c r="I371" s="891"/>
      <c r="J371" s="30"/>
      <c r="K371" s="892"/>
      <c r="L371" s="53"/>
      <c r="M371" s="897"/>
      <c r="N371" s="53"/>
      <c r="O371" s="53"/>
      <c r="P371" s="53"/>
      <c r="Q371" s="54"/>
      <c r="R371" s="53"/>
      <c r="S371" s="53"/>
      <c r="T371" s="239"/>
      <c r="U371" s="416"/>
    </row>
    <row r="372" spans="1:21" ht="22.8">
      <c r="A372" s="265" t="s">
        <v>259</v>
      </c>
      <c r="B372" s="86" t="s">
        <v>525</v>
      </c>
      <c r="C372" s="29"/>
      <c r="D372" s="29"/>
      <c r="E372" s="29"/>
      <c r="F372" s="29"/>
      <c r="G372" s="29"/>
      <c r="H372" s="29"/>
      <c r="I372" s="890">
        <f>+I164*M196</f>
        <v>8507418.6313315928</v>
      </c>
      <c r="J372" s="30"/>
      <c r="K372" s="892">
        <f>+I372/$K$114</f>
        <v>2699.9107049608356</v>
      </c>
      <c r="L372" s="53"/>
      <c r="M372" s="892">
        <f>+I372/($K$114*$I$72)</f>
        <v>67.497767624020895</v>
      </c>
      <c r="N372" s="53"/>
      <c r="O372" s="201">
        <f>+I372/($I$34+$I$38)</f>
        <v>2.0090727668748594</v>
      </c>
      <c r="P372" s="53"/>
      <c r="Q372" s="203">
        <f>+I372/($I$25*($I$34+$I$38))</f>
        <v>4.2746229082443821E-3</v>
      </c>
      <c r="R372" s="53"/>
      <c r="S372" s="98">
        <f>+I372/($I$36+$I$40)</f>
        <v>21.095264052186028</v>
      </c>
      <c r="T372" s="239"/>
      <c r="U372" s="416">
        <f>+I372/(($I$36+$I$40)*$I$25)</f>
        <v>4.4883540536566013E-2</v>
      </c>
    </row>
    <row r="373" spans="1:21" ht="22.8">
      <c r="A373" s="46"/>
      <c r="B373" s="29"/>
      <c r="C373" s="29"/>
      <c r="D373" s="29"/>
      <c r="E373" s="29"/>
      <c r="F373" s="29"/>
      <c r="G373" s="29"/>
      <c r="H373" s="29"/>
      <c r="I373" s="891"/>
      <c r="J373" s="30"/>
      <c r="K373" s="892"/>
      <c r="L373" s="53"/>
      <c r="M373" s="897"/>
      <c r="N373" s="53"/>
      <c r="O373" s="53"/>
      <c r="P373" s="53"/>
      <c r="Q373" s="54"/>
      <c r="R373" s="53"/>
      <c r="S373" s="36"/>
      <c r="T373" s="239"/>
      <c r="U373" s="416"/>
    </row>
    <row r="374" spans="1:21" ht="22.8">
      <c r="A374" s="265" t="s">
        <v>164</v>
      </c>
      <c r="B374" s="38" t="s">
        <v>496</v>
      </c>
      <c r="C374" s="29"/>
      <c r="D374" s="29"/>
      <c r="E374" s="29"/>
      <c r="F374" s="29"/>
      <c r="G374" s="29"/>
      <c r="H374" s="29"/>
      <c r="I374" s="890">
        <f>+(I152*1000)*M200</f>
        <v>2760185.1391644455</v>
      </c>
      <c r="J374" s="30"/>
      <c r="K374" s="892">
        <f>+I374/$K$114</f>
        <v>875.97116444444475</v>
      </c>
      <c r="L374" s="53"/>
      <c r="M374" s="892">
        <f>+I374/($K$114*$I$72)</f>
        <v>21.89927911111112</v>
      </c>
      <c r="N374" s="53"/>
      <c r="O374" s="201">
        <f>+I374/($I$34+$I$38)</f>
        <v>0.65183259869274901</v>
      </c>
      <c r="P374" s="53"/>
      <c r="Q374" s="203">
        <f>+I374/($I$25*($I$34+$I$38))</f>
        <v>1.3868778695590403E-3</v>
      </c>
      <c r="R374" s="53"/>
      <c r="S374" s="98">
        <f>+I374/($I$36+$I$40)</f>
        <v>6.8442422862738646</v>
      </c>
      <c r="T374" s="239"/>
      <c r="U374" s="416">
        <f>+I374/(($I$36+$I$40)*$I$25)</f>
        <v>1.4562217630369925E-2</v>
      </c>
    </row>
    <row r="375" spans="1:21" ht="22.8">
      <c r="A375" s="46"/>
      <c r="B375" s="29"/>
      <c r="C375" s="29"/>
      <c r="D375" s="29"/>
      <c r="E375" s="29"/>
      <c r="F375" s="29"/>
      <c r="G375" s="29"/>
      <c r="H375" s="29"/>
      <c r="I375" s="891"/>
      <c r="J375" s="30"/>
      <c r="K375" s="897"/>
      <c r="L375" s="53"/>
      <c r="M375" s="897"/>
      <c r="N375" s="53"/>
      <c r="O375" s="53"/>
      <c r="P375" s="53"/>
      <c r="Q375" s="54"/>
      <c r="R375" s="53"/>
      <c r="S375" s="36"/>
      <c r="T375" s="239"/>
      <c r="U375" s="416"/>
    </row>
    <row r="376" spans="1:21" ht="22.8">
      <c r="A376" s="265" t="s">
        <v>165</v>
      </c>
      <c r="B376" s="38" t="s">
        <v>498</v>
      </c>
      <c r="C376" s="29"/>
      <c r="D376" s="29"/>
      <c r="E376" s="29"/>
      <c r="F376" s="29"/>
      <c r="G376" s="29"/>
      <c r="H376" s="29"/>
      <c r="I376" s="890">
        <f>+(I154*1000)*M202</f>
        <v>6773147.5902061863</v>
      </c>
      <c r="J376" s="30"/>
      <c r="K376" s="892">
        <f>+I376/$K$114</f>
        <v>2149.5231958762888</v>
      </c>
      <c r="L376" s="53"/>
      <c r="M376" s="892">
        <f>+I376/($K$114*$I$72)</f>
        <v>53.738079896907223</v>
      </c>
      <c r="N376" s="53"/>
      <c r="O376" s="201">
        <f>+I376/($I$34+$I$38)</f>
        <v>1.5995153123641956</v>
      </c>
      <c r="P376" s="53"/>
      <c r="Q376" s="203">
        <f>+I376/($I$25*($I$34+$I$38))</f>
        <v>3.4032240688599905E-3</v>
      </c>
      <c r="R376" s="53"/>
      <c r="S376" s="98">
        <f>+I376/($I$36+$I$40)</f>
        <v>16.794910779824054</v>
      </c>
      <c r="T376" s="239"/>
      <c r="U376" s="416">
        <f>+I376/(($I$36+$I$40)*$I$25)</f>
        <v>3.5733852723029903E-2</v>
      </c>
    </row>
    <row r="377" spans="1:21" ht="22.8">
      <c r="A377" s="39"/>
      <c r="B377" s="29"/>
      <c r="C377" s="29"/>
      <c r="D377" s="29"/>
      <c r="E377" s="29"/>
      <c r="F377" s="29"/>
      <c r="G377" s="29"/>
      <c r="H377" s="29"/>
      <c r="I377" s="891"/>
      <c r="J377" s="30"/>
      <c r="K377" s="897"/>
      <c r="L377" s="53"/>
      <c r="M377" s="897"/>
      <c r="N377" s="53"/>
      <c r="O377" s="53"/>
      <c r="P377" s="53"/>
      <c r="Q377" s="90"/>
      <c r="R377" s="53"/>
      <c r="S377" s="36"/>
      <c r="T377" s="239"/>
      <c r="U377" s="416"/>
    </row>
    <row r="378" spans="1:21" ht="22.8">
      <c r="A378" s="265" t="s">
        <v>166</v>
      </c>
      <c r="B378" s="38" t="s">
        <v>500</v>
      </c>
      <c r="C378" s="29"/>
      <c r="D378" s="29"/>
      <c r="E378" s="29"/>
      <c r="F378" s="29"/>
      <c r="G378" s="29"/>
      <c r="H378" s="29"/>
      <c r="I378" s="890">
        <f>+(I158*1000)*M204</f>
        <v>1518374.0354860767</v>
      </c>
      <c r="J378" s="30"/>
      <c r="K378" s="892">
        <f>+I378/$K$114</f>
        <v>481.87052855794246</v>
      </c>
      <c r="L378" s="53"/>
      <c r="M378" s="892">
        <f>+I378/($K$114*$I$72)</f>
        <v>12.046763213948562</v>
      </c>
      <c r="N378" s="53"/>
      <c r="O378" s="201">
        <f>+I378/($I$34+$I$38)</f>
        <v>0.35857221289079627</v>
      </c>
      <c r="P378" s="53"/>
      <c r="Q378" s="203">
        <f>+I378/($I$25*($I$34+$I$38))</f>
        <v>7.6291960189531118E-4</v>
      </c>
      <c r="R378" s="53"/>
      <c r="S378" s="98">
        <f>+I378/($I$36+$I$40)</f>
        <v>3.7650082353533607</v>
      </c>
      <c r="T378" s="239"/>
      <c r="U378" s="416">
        <f>+I378/(($I$36+$I$40)*$I$25)</f>
        <v>8.0106558199007673E-3</v>
      </c>
    </row>
    <row r="379" spans="1:21" ht="22.8">
      <c r="A379" s="266"/>
      <c r="B379" s="38"/>
      <c r="C379" s="29"/>
      <c r="D379" s="29"/>
      <c r="E379" s="29"/>
      <c r="F379" s="29"/>
      <c r="G379" s="29"/>
      <c r="H379" s="29"/>
      <c r="I379" s="891"/>
      <c r="J379" s="30"/>
      <c r="K379" s="892"/>
      <c r="L379" s="53"/>
      <c r="M379" s="897"/>
      <c r="N379" s="53"/>
      <c r="O379" s="53"/>
      <c r="P379" s="53"/>
      <c r="Q379" s="90"/>
      <c r="R379" s="53"/>
      <c r="S379" s="36"/>
      <c r="T379" s="239"/>
      <c r="U379" s="416"/>
    </row>
    <row r="380" spans="1:21" ht="22.8">
      <c r="A380" s="265" t="s">
        <v>167</v>
      </c>
      <c r="B380" s="38" t="s">
        <v>502</v>
      </c>
      <c r="C380" s="29"/>
      <c r="D380" s="29"/>
      <c r="E380" s="29"/>
      <c r="F380" s="29"/>
      <c r="G380" s="29"/>
      <c r="H380" s="29"/>
      <c r="I380" s="890">
        <f>+K114*I72*M210</f>
        <v>0</v>
      </c>
      <c r="J380" s="30"/>
      <c r="K380" s="892">
        <f>+I380/$K$114</f>
        <v>0</v>
      </c>
      <c r="L380" s="53"/>
      <c r="M380" s="892">
        <f>+I380/($K$114*$I$72)</f>
        <v>0</v>
      </c>
      <c r="N380" s="53"/>
      <c r="O380" s="201">
        <f>+I380/($I$34+$I$38)</f>
        <v>0</v>
      </c>
      <c r="P380" s="53"/>
      <c r="Q380" s="203">
        <f>+I380/($I$25*($I$34+$I$38))</f>
        <v>0</v>
      </c>
      <c r="R380" s="53"/>
      <c r="S380" s="98">
        <f>+I380/($I$36+$I$40)</f>
        <v>0</v>
      </c>
      <c r="T380" s="239"/>
      <c r="U380" s="416">
        <f>+I380/(($I$36+$I$40)*$I$25)</f>
        <v>0</v>
      </c>
    </row>
    <row r="381" spans="1:21" ht="22.8">
      <c r="A381" s="266"/>
      <c r="B381" s="38"/>
      <c r="C381" s="29"/>
      <c r="D381" s="29"/>
      <c r="E381" s="29"/>
      <c r="F381" s="29"/>
      <c r="G381" s="29"/>
      <c r="H381" s="29"/>
      <c r="I381" s="891"/>
      <c r="J381" s="30"/>
      <c r="K381" s="892"/>
      <c r="L381" s="53"/>
      <c r="M381" s="897"/>
      <c r="N381" s="53"/>
      <c r="O381" s="53"/>
      <c r="P381" s="53"/>
      <c r="Q381" s="54"/>
      <c r="R381" s="53"/>
      <c r="S381" s="53"/>
      <c r="T381" s="239"/>
      <c r="U381" s="416"/>
    </row>
    <row r="382" spans="1:21" ht="22.8">
      <c r="A382" s="265" t="s">
        <v>169</v>
      </c>
      <c r="B382" s="38" t="s">
        <v>144</v>
      </c>
      <c r="C382" s="29"/>
      <c r="D382" s="29"/>
      <c r="E382" s="29"/>
      <c r="F382" s="29"/>
      <c r="G382" s="29"/>
      <c r="H382" s="29"/>
      <c r="I382" s="890">
        <f>+(I36+I40)*M214</f>
        <v>0</v>
      </c>
      <c r="J382" s="30"/>
      <c r="K382" s="892">
        <f>+I382/$K$114</f>
        <v>0</v>
      </c>
      <c r="L382" s="53"/>
      <c r="M382" s="892">
        <f>+I382/($K$114*$I$72)</f>
        <v>0</v>
      </c>
      <c r="N382" s="53"/>
      <c r="O382" s="201">
        <f>+I382/($I$34+$I$38)</f>
        <v>0</v>
      </c>
      <c r="P382" s="53"/>
      <c r="Q382" s="203">
        <f>+I382/($I$25*($I$34+$I$38))</f>
        <v>0</v>
      </c>
      <c r="R382" s="53"/>
      <c r="S382" s="98">
        <f>+I382/($I$36+$I$40)</f>
        <v>0</v>
      </c>
      <c r="T382" s="239"/>
      <c r="U382" s="416">
        <f>+I382/(($I$36+$I$40)*$I$25)</f>
        <v>0</v>
      </c>
    </row>
    <row r="383" spans="1:21" ht="22.8">
      <c r="A383" s="266"/>
      <c r="B383" s="38"/>
      <c r="C383" s="29"/>
      <c r="D383" s="29"/>
      <c r="E383" s="29"/>
      <c r="F383" s="29"/>
      <c r="G383" s="29"/>
      <c r="H383" s="29"/>
      <c r="I383" s="891"/>
      <c r="J383" s="30"/>
      <c r="K383" s="892"/>
      <c r="L383" s="53"/>
      <c r="M383" s="897"/>
      <c r="N383" s="53"/>
      <c r="O383" s="53"/>
      <c r="P383" s="53"/>
      <c r="Q383" s="54"/>
      <c r="R383" s="53"/>
      <c r="S383" s="53"/>
      <c r="T383" s="239"/>
      <c r="U383" s="416"/>
    </row>
    <row r="384" spans="1:21" ht="22.8">
      <c r="A384" s="265" t="s">
        <v>26</v>
      </c>
      <c r="B384" s="38" t="s">
        <v>25</v>
      </c>
      <c r="C384" s="29"/>
      <c r="D384" s="29"/>
      <c r="E384" s="29"/>
      <c r="F384" s="29"/>
      <c r="G384" s="29"/>
      <c r="H384" s="30"/>
      <c r="I384" s="892">
        <f>+I36*M216</f>
        <v>0</v>
      </c>
      <c r="J384" s="30"/>
      <c r="K384" s="892">
        <f>+I384/$K$114</f>
        <v>0</v>
      </c>
      <c r="L384" s="53"/>
      <c r="M384" s="892">
        <f>+I384/($K$114*$I$72)</f>
        <v>0</v>
      </c>
      <c r="N384" s="53"/>
      <c r="O384" s="201">
        <f>+I384/($I$34+$I$38)</f>
        <v>0</v>
      </c>
      <c r="P384" s="53"/>
      <c r="Q384" s="203">
        <f>+I384/($I$25*($I$34+$I$38))</f>
        <v>0</v>
      </c>
      <c r="R384" s="53"/>
      <c r="S384" s="98">
        <f>+I384/($I$36+$I$40)</f>
        <v>0</v>
      </c>
      <c r="T384" s="239"/>
      <c r="U384" s="416">
        <f>+I384/(($I$36+$I$40)*$I$25)</f>
        <v>0</v>
      </c>
    </row>
    <row r="385" spans="1:21" ht="22.8">
      <c r="A385" s="266"/>
      <c r="B385" s="38"/>
      <c r="C385" s="29"/>
      <c r="D385" s="29"/>
      <c r="E385" s="29"/>
      <c r="F385" s="29"/>
      <c r="G385" s="29"/>
      <c r="H385" s="29"/>
      <c r="I385" s="891"/>
      <c r="J385" s="30"/>
      <c r="K385" s="892"/>
      <c r="L385" s="53"/>
      <c r="M385" s="897"/>
      <c r="N385" s="53"/>
      <c r="O385" s="53"/>
      <c r="P385" s="53"/>
      <c r="Q385" s="54"/>
      <c r="R385" s="53"/>
      <c r="S385" s="53"/>
      <c r="T385" s="239"/>
      <c r="U385" s="416"/>
    </row>
    <row r="386" spans="1:21" ht="22.8">
      <c r="A386" s="265" t="s">
        <v>170</v>
      </c>
      <c r="B386" s="38"/>
      <c r="C386" s="45" t="s">
        <v>110</v>
      </c>
      <c r="D386" s="29"/>
      <c r="E386" s="29"/>
      <c r="F386" s="29"/>
      <c r="G386" s="29"/>
      <c r="H386" s="29"/>
      <c r="I386" s="893">
        <f>SUM(I370:I384)</f>
        <v>20808943.350915689</v>
      </c>
      <c r="J386" s="30"/>
      <c r="K386" s="893">
        <f>SUM(K370:K384)</f>
        <v>6603.917280519102</v>
      </c>
      <c r="L386" s="53"/>
      <c r="M386" s="893">
        <f>SUM(M370:M384)</f>
        <v>165.09793201297759</v>
      </c>
      <c r="N386" s="53"/>
      <c r="O386" s="202">
        <f>SUM(O370:O384)</f>
        <v>4.9141441376586821</v>
      </c>
      <c r="P386" s="53"/>
      <c r="Q386" s="204">
        <f>SUM(Q370:Q384)</f>
        <v>1.0455625824805708E-2</v>
      </c>
      <c r="R386" s="53"/>
      <c r="S386" s="200">
        <f>SUM(S370:S384)</f>
        <v>51.598513445416174</v>
      </c>
      <c r="T386" s="239"/>
      <c r="U386" s="436">
        <f>SUM(U370:U384)</f>
        <v>0.10978407116045993</v>
      </c>
    </row>
    <row r="387" spans="1:21" ht="22.8">
      <c r="A387" s="266"/>
      <c r="B387" s="38"/>
      <c r="C387" s="29"/>
      <c r="D387" s="29"/>
      <c r="E387" s="29"/>
      <c r="F387" s="29"/>
      <c r="G387" s="29"/>
      <c r="H387" s="29"/>
      <c r="I387" s="891"/>
      <c r="J387" s="30"/>
      <c r="K387" s="892"/>
      <c r="L387" s="53"/>
      <c r="M387" s="897"/>
      <c r="N387" s="53"/>
      <c r="O387" s="53"/>
      <c r="P387" s="53"/>
      <c r="Q387" s="54"/>
      <c r="R387" s="53"/>
      <c r="S387" s="53"/>
      <c r="T387" s="239"/>
      <c r="U387" s="401"/>
    </row>
    <row r="388" spans="1:21" ht="22.8">
      <c r="A388" s="273" t="s">
        <v>163</v>
      </c>
      <c r="B388" s="195" t="s">
        <v>124</v>
      </c>
      <c r="C388" s="29"/>
      <c r="D388" s="29"/>
      <c r="E388" s="29"/>
      <c r="F388" s="29"/>
      <c r="G388" s="29"/>
      <c r="H388" s="29"/>
      <c r="I388" s="891"/>
      <c r="J388" s="30"/>
      <c r="K388" s="892"/>
      <c r="L388" s="53"/>
      <c r="M388" s="897"/>
      <c r="N388" s="53"/>
      <c r="O388" s="53"/>
      <c r="P388" s="53"/>
      <c r="Q388" s="54"/>
      <c r="R388" s="53"/>
      <c r="S388" s="53"/>
      <c r="T388" s="239"/>
      <c r="U388" s="412"/>
    </row>
    <row r="389" spans="1:21" ht="22.8">
      <c r="A389" s="266"/>
      <c r="B389" s="38"/>
      <c r="C389" s="29"/>
      <c r="D389" s="29"/>
      <c r="E389" s="29"/>
      <c r="F389" s="29"/>
      <c r="G389" s="29"/>
      <c r="H389" s="29"/>
      <c r="I389" s="891"/>
      <c r="J389" s="30"/>
      <c r="K389" s="892"/>
      <c r="L389" s="53"/>
      <c r="M389" s="897"/>
      <c r="N389" s="53"/>
      <c r="O389" s="53"/>
      <c r="P389" s="53"/>
      <c r="Q389" s="54"/>
      <c r="R389" s="53"/>
      <c r="S389" s="53"/>
      <c r="T389" s="239"/>
      <c r="U389" s="401"/>
    </row>
    <row r="390" spans="1:21" ht="22.8">
      <c r="A390" s="265" t="s">
        <v>171</v>
      </c>
      <c r="B390" s="38" t="s">
        <v>511</v>
      </c>
      <c r="C390" s="29"/>
      <c r="D390" s="29"/>
      <c r="E390" s="29"/>
      <c r="F390" s="29"/>
      <c r="G390" s="29"/>
      <c r="H390" s="29"/>
      <c r="I390" s="890">
        <f>+M206*I25</f>
        <v>2073264</v>
      </c>
      <c r="J390" s="30"/>
      <c r="K390" s="892">
        <f>+I390/$K$114</f>
        <v>657.97016820057127</v>
      </c>
      <c r="L390" s="53"/>
      <c r="M390" s="892">
        <f>+I390/($K$114*$I$72)</f>
        <v>16.449254205014281</v>
      </c>
      <c r="N390" s="53"/>
      <c r="O390" s="201">
        <f>+I390/($I$34+$I$38)</f>
        <v>0.48961246900460503</v>
      </c>
      <c r="P390" s="53"/>
      <c r="Q390" s="203">
        <f>+I390/($I$25*($I$34+$I$38))</f>
        <v>1.0417286574566065E-3</v>
      </c>
      <c r="R390" s="53"/>
      <c r="S390" s="98">
        <f>+I390/($I$36+$I$40)</f>
        <v>5.1409309245483534</v>
      </c>
      <c r="T390" s="239"/>
      <c r="U390" s="416">
        <f>+I390/(($I$36+$I$40)*$I$25)</f>
        <v>1.0938150903294369E-2</v>
      </c>
    </row>
    <row r="391" spans="1:21" ht="22.8">
      <c r="A391" s="266"/>
      <c r="B391" s="38"/>
      <c r="C391" s="29"/>
      <c r="D391" s="29"/>
      <c r="E391" s="29"/>
      <c r="F391" s="29"/>
      <c r="G391" s="29"/>
      <c r="H391" s="29"/>
      <c r="I391" s="891"/>
      <c r="J391" s="30"/>
      <c r="K391" s="892"/>
      <c r="L391" s="53"/>
      <c r="M391" s="897"/>
      <c r="N391" s="53"/>
      <c r="O391" s="53"/>
      <c r="P391" s="53"/>
      <c r="Q391" s="54"/>
      <c r="R391" s="53"/>
      <c r="S391" s="53"/>
      <c r="T391" s="239"/>
      <c r="U391" s="416"/>
    </row>
    <row r="392" spans="1:21" ht="22.8">
      <c r="A392" s="265" t="s">
        <v>172</v>
      </c>
      <c r="B392" s="38" t="s">
        <v>126</v>
      </c>
      <c r="C392" s="29"/>
      <c r="D392" s="29"/>
      <c r="E392" s="29"/>
      <c r="F392" s="29"/>
      <c r="G392" s="29"/>
      <c r="H392" s="29"/>
      <c r="I392" s="890">
        <f>M208*I25</f>
        <v>1220067.2897196263</v>
      </c>
      <c r="J392" s="30"/>
      <c r="K392" s="892">
        <f>+I392/$K$114</f>
        <v>387.20002847338191</v>
      </c>
      <c r="L392" s="53"/>
      <c r="M392" s="892">
        <f>+I392/($K$114*$I$72)</f>
        <v>9.6800007118345466</v>
      </c>
      <c r="N392" s="53"/>
      <c r="O392" s="201">
        <f>+I392/($I$34+$I$38)</f>
        <v>0.28812546693107244</v>
      </c>
      <c r="P392" s="53"/>
      <c r="Q392" s="203">
        <f>+I392/($I$25*($I$34+$I$38))</f>
        <v>6.1303290836398397E-4</v>
      </c>
      <c r="R392" s="53"/>
      <c r="S392" s="98">
        <f>+I392/($I$36+$I$40)</f>
        <v>3.025317402776261</v>
      </c>
      <c r="T392" s="239"/>
      <c r="U392" s="416">
        <f>+I392/(($I$36+$I$40)*$I$25)</f>
        <v>6.4368455378218323E-3</v>
      </c>
    </row>
    <row r="393" spans="1:21" ht="22.8">
      <c r="A393" s="266"/>
      <c r="B393" s="38"/>
      <c r="C393" s="29"/>
      <c r="D393" s="29"/>
      <c r="E393" s="29"/>
      <c r="F393" s="29"/>
      <c r="G393" s="29"/>
      <c r="H393" s="29"/>
      <c r="I393" s="891"/>
      <c r="J393" s="30"/>
      <c r="K393" s="892"/>
      <c r="L393" s="53"/>
      <c r="M393" s="897"/>
      <c r="N393" s="53"/>
      <c r="O393" s="53"/>
      <c r="P393" s="53"/>
      <c r="Q393" s="54"/>
      <c r="R393" s="53"/>
      <c r="S393" s="53"/>
      <c r="T393" s="239"/>
      <c r="U393" s="416"/>
    </row>
    <row r="394" spans="1:21" ht="22.8">
      <c r="A394" s="265" t="s">
        <v>193</v>
      </c>
      <c r="B394" s="38" t="s">
        <v>127</v>
      </c>
      <c r="C394" s="29"/>
      <c r="D394" s="29"/>
      <c r="E394" s="29"/>
      <c r="F394" s="29"/>
      <c r="G394" s="29"/>
      <c r="H394" s="29"/>
      <c r="I394" s="890">
        <f>+M212</f>
        <v>0</v>
      </c>
      <c r="J394" s="30"/>
      <c r="K394" s="892">
        <f>+I394/$K$114</f>
        <v>0</v>
      </c>
      <c r="L394" s="53"/>
      <c r="M394" s="892">
        <f>+I394/($K$114*$I$72)</f>
        <v>0</v>
      </c>
      <c r="N394" s="53"/>
      <c r="O394" s="201">
        <f>+I394/($I$34+$I$38)</f>
        <v>0</v>
      </c>
      <c r="P394" s="53"/>
      <c r="Q394" s="203">
        <f>+I394/($I$25*($I$34+$I$38))</f>
        <v>0</v>
      </c>
      <c r="R394" s="53"/>
      <c r="S394" s="98">
        <f>+I394/($I$36+$I$40)</f>
        <v>0</v>
      </c>
      <c r="T394" s="239"/>
      <c r="U394" s="416">
        <f>+I394/(($I$36+$I$40)*$I$25)</f>
        <v>0</v>
      </c>
    </row>
    <row r="395" spans="1:21" ht="22.8">
      <c r="A395" s="266"/>
      <c r="B395" s="38"/>
      <c r="C395" s="29"/>
      <c r="D395" s="29"/>
      <c r="E395" s="29"/>
      <c r="F395" s="29"/>
      <c r="G395" s="29"/>
      <c r="H395" s="29"/>
      <c r="I395" s="891"/>
      <c r="J395" s="30"/>
      <c r="K395" s="892"/>
      <c r="L395" s="53"/>
      <c r="M395" s="897"/>
      <c r="N395" s="53"/>
      <c r="O395" s="53"/>
      <c r="P395" s="53"/>
      <c r="Q395" s="54"/>
      <c r="R395" s="53"/>
      <c r="S395" s="53"/>
      <c r="T395" s="239"/>
      <c r="U395" s="416"/>
    </row>
    <row r="396" spans="1:21" ht="22.8">
      <c r="A396" s="265" t="s">
        <v>194</v>
      </c>
      <c r="B396" s="38"/>
      <c r="C396" s="45" t="s">
        <v>130</v>
      </c>
      <c r="D396" s="29"/>
      <c r="E396" s="29"/>
      <c r="F396" s="29"/>
      <c r="G396" s="29"/>
      <c r="H396" s="29"/>
      <c r="I396" s="894">
        <f>SUM(I390:I394)</f>
        <v>3293331.2897196263</v>
      </c>
      <c r="J396" s="30"/>
      <c r="K396" s="894">
        <f>SUM(K390:K394)</f>
        <v>1045.1701966739531</v>
      </c>
      <c r="L396" s="53"/>
      <c r="M396" s="894">
        <f>SUM(M390:M394)</f>
        <v>26.129254916848829</v>
      </c>
      <c r="N396" s="53"/>
      <c r="O396" s="207">
        <f>SUM(O390:O394)</f>
        <v>0.77773793593567753</v>
      </c>
      <c r="P396" s="53"/>
      <c r="Q396" s="208">
        <f>SUM(Q390:Q394)</f>
        <v>1.6547615658205905E-3</v>
      </c>
      <c r="R396" s="53"/>
      <c r="S396" s="206">
        <f>SUM(S390:S394)</f>
        <v>8.1662483273246149</v>
      </c>
      <c r="T396" s="239"/>
      <c r="U396" s="436">
        <f>SUM(U390:U394)</f>
        <v>1.7374996441116203E-2</v>
      </c>
    </row>
    <row r="397" spans="1:21" ht="22.8">
      <c r="A397" s="266"/>
      <c r="B397" s="38"/>
      <c r="C397" s="29"/>
      <c r="D397" s="29"/>
      <c r="E397" s="29"/>
      <c r="F397" s="29"/>
      <c r="G397" s="29"/>
      <c r="H397" s="29"/>
      <c r="I397" s="891"/>
      <c r="J397" s="30"/>
      <c r="K397" s="892"/>
      <c r="L397" s="53"/>
      <c r="M397" s="53"/>
      <c r="N397" s="53"/>
      <c r="O397" s="53"/>
      <c r="P397" s="53"/>
      <c r="Q397" s="54"/>
      <c r="R397" s="53"/>
      <c r="S397" s="53"/>
      <c r="T397" s="239"/>
      <c r="U397" s="416"/>
    </row>
    <row r="398" spans="1:21" ht="22.8">
      <c r="A398" s="273" t="s">
        <v>168</v>
      </c>
      <c r="B398" s="210" t="s">
        <v>531</v>
      </c>
      <c r="C398" s="29"/>
      <c r="D398" s="29"/>
      <c r="E398" s="29"/>
      <c r="F398" s="29"/>
      <c r="G398" s="29"/>
      <c r="H398" s="29"/>
      <c r="I398" s="891"/>
      <c r="J398" s="30"/>
      <c r="K398" s="892"/>
      <c r="L398" s="53"/>
      <c r="M398" s="53"/>
      <c r="N398" s="53"/>
      <c r="O398" s="53"/>
      <c r="P398" s="53"/>
      <c r="Q398" s="54"/>
      <c r="R398" s="53"/>
      <c r="S398" s="53"/>
      <c r="T398" s="239"/>
      <c r="U398" s="416"/>
    </row>
    <row r="399" spans="1:21" ht="22.8">
      <c r="A399" s="266"/>
      <c r="B399" s="38"/>
      <c r="C399" s="29"/>
      <c r="D399" s="29"/>
      <c r="E399" s="29"/>
      <c r="F399" s="29"/>
      <c r="G399" s="29"/>
      <c r="H399" s="29"/>
      <c r="I399" s="891"/>
      <c r="J399" s="30"/>
      <c r="K399" s="892"/>
      <c r="L399" s="53"/>
      <c r="M399" s="53"/>
      <c r="N399" s="53"/>
      <c r="O399" s="53"/>
      <c r="P399" s="53"/>
      <c r="Q399" s="54"/>
      <c r="R399" s="53"/>
      <c r="S399" s="53"/>
      <c r="T399" s="239"/>
      <c r="U399" s="416"/>
    </row>
    <row r="400" spans="1:21" ht="22.8">
      <c r="A400" s="265" t="s">
        <v>195</v>
      </c>
      <c r="B400" s="211" t="s">
        <v>508</v>
      </c>
      <c r="C400" s="30"/>
      <c r="D400" s="29"/>
      <c r="E400" s="29"/>
      <c r="F400" s="29"/>
      <c r="G400" s="29"/>
      <c r="H400" s="29"/>
      <c r="I400" s="891"/>
      <c r="J400" s="30"/>
      <c r="K400" s="892"/>
      <c r="L400" s="53"/>
      <c r="M400" s="53"/>
      <c r="N400" s="53"/>
      <c r="O400" s="53"/>
      <c r="P400" s="53"/>
      <c r="Q400" s="54"/>
      <c r="R400" s="53"/>
      <c r="S400" s="53"/>
      <c r="T400" s="239"/>
      <c r="U400" s="416"/>
    </row>
    <row r="401" spans="1:21" ht="22.8">
      <c r="A401" s="265"/>
      <c r="B401" s="94"/>
      <c r="C401" s="30"/>
      <c r="D401" s="29"/>
      <c r="E401" s="29"/>
      <c r="F401" s="29"/>
      <c r="G401" s="29"/>
      <c r="H401" s="29"/>
      <c r="I401" s="891"/>
      <c r="J401" s="30"/>
      <c r="K401" s="892"/>
      <c r="L401" s="53"/>
      <c r="M401" s="53"/>
      <c r="N401" s="53"/>
      <c r="O401" s="53"/>
      <c r="P401" s="53"/>
      <c r="Q401" s="54"/>
      <c r="R401" s="53"/>
      <c r="S401" s="53"/>
      <c r="T401" s="239"/>
      <c r="U401" s="416"/>
    </row>
    <row r="402" spans="1:21" ht="22.8">
      <c r="A402" s="265" t="s">
        <v>294</v>
      </c>
      <c r="B402" s="38" t="s">
        <v>89</v>
      </c>
      <c r="C402" s="38"/>
      <c r="D402" s="29"/>
      <c r="E402" s="29"/>
      <c r="F402" s="29"/>
      <c r="G402" s="29"/>
      <c r="H402" s="29"/>
      <c r="I402" s="890">
        <f>+((M233*(1-M237))/M235)*(1+I239)</f>
        <v>15228212.737802759</v>
      </c>
      <c r="J402" s="30"/>
      <c r="K402" s="892">
        <f>+I402/$K$114</f>
        <v>4832.8190218352138</v>
      </c>
      <c r="L402" s="53"/>
      <c r="M402" s="98">
        <f>+I402/($K$114*$I$72)</f>
        <v>120.82047554588034</v>
      </c>
      <c r="N402" s="53"/>
      <c r="O402" s="201">
        <f>+I402/($I$34+$I$38)</f>
        <v>3.5962245218568327</v>
      </c>
      <c r="P402" s="53"/>
      <c r="Q402" s="203">
        <f>+I402/($I$25*($I$34+$I$38))</f>
        <v>7.6515415358656014E-3</v>
      </c>
      <c r="R402" s="53"/>
      <c r="S402" s="98">
        <f>+I402/($I$36+$I$40)</f>
        <v>37.760357479496747</v>
      </c>
      <c r="T402" s="239"/>
      <c r="U402" s="416">
        <f>+I402/(($I$36+$I$40)*$I$25)</f>
        <v>8.0341186126588832E-2</v>
      </c>
    </row>
    <row r="403" spans="1:21" ht="22.8">
      <c r="A403" s="265"/>
      <c r="B403" s="38"/>
      <c r="C403" s="38"/>
      <c r="D403" s="29"/>
      <c r="E403" s="29"/>
      <c r="F403" s="29"/>
      <c r="G403" s="29"/>
      <c r="H403" s="29"/>
      <c r="I403" s="890"/>
      <c r="J403" s="30"/>
      <c r="K403" s="892"/>
      <c r="L403" s="53"/>
      <c r="M403" s="98"/>
      <c r="N403" s="53"/>
      <c r="O403" s="36"/>
      <c r="P403" s="53"/>
      <c r="Q403" s="203"/>
      <c r="R403" s="53"/>
      <c r="S403" s="36"/>
      <c r="T403" s="239"/>
      <c r="U403" s="416"/>
    </row>
    <row r="404" spans="1:21" ht="22.8">
      <c r="A404" s="265" t="s">
        <v>295</v>
      </c>
      <c r="B404" s="38" t="s">
        <v>131</v>
      </c>
      <c r="C404" s="38"/>
      <c r="D404" s="29"/>
      <c r="E404" s="29"/>
      <c r="F404" s="29"/>
      <c r="G404" s="29"/>
      <c r="H404" s="29"/>
      <c r="I404" s="890">
        <f>+((M245*(1-M249)/M247)*(1+I251))</f>
        <v>546535.24945770064</v>
      </c>
      <c r="J404" s="30"/>
      <c r="K404" s="892">
        <f>+I404/$K$114</f>
        <v>173.44819087835629</v>
      </c>
      <c r="L404" s="53"/>
      <c r="M404" s="98">
        <f>+I404/($K$114*$I$72)</f>
        <v>4.336204771958907</v>
      </c>
      <c r="N404" s="53"/>
      <c r="O404" s="201">
        <f>+I404/($I$34+$I$38)</f>
        <v>0.12906724511930587</v>
      </c>
      <c r="P404" s="53"/>
      <c r="Q404" s="203">
        <f>+I404/($I$25*($I$34+$I$38))</f>
        <v>2.7461115982831033E-4</v>
      </c>
      <c r="R404" s="53"/>
      <c r="S404" s="98">
        <f>+I404/($I$36+$I$40)</f>
        <v>1.3552060737527116</v>
      </c>
      <c r="T404" s="239"/>
      <c r="U404" s="416">
        <f>+I404/(($I$36+$I$40)*$I$25)</f>
        <v>2.8834171781972587E-3</v>
      </c>
    </row>
    <row r="405" spans="1:21" ht="22.8">
      <c r="A405" s="265"/>
      <c r="B405" s="38"/>
      <c r="C405" s="38"/>
      <c r="D405" s="29"/>
      <c r="E405" s="29"/>
      <c r="F405" s="29"/>
      <c r="G405" s="29"/>
      <c r="H405" s="29"/>
      <c r="I405" s="890"/>
      <c r="J405" s="30"/>
      <c r="K405" s="892"/>
      <c r="L405" s="53"/>
      <c r="M405" s="98"/>
      <c r="N405" s="53"/>
      <c r="O405" s="36"/>
      <c r="P405" s="53"/>
      <c r="Q405" s="96"/>
      <c r="R405" s="53"/>
      <c r="S405" s="36"/>
      <c r="T405" s="239"/>
      <c r="U405" s="416"/>
    </row>
    <row r="406" spans="1:21" ht="22.8">
      <c r="A406" s="265" t="s">
        <v>296</v>
      </c>
      <c r="B406" s="209" t="s">
        <v>133</v>
      </c>
      <c r="C406" s="38"/>
      <c r="D406" s="29"/>
      <c r="E406" s="29"/>
      <c r="F406" s="29"/>
      <c r="G406" s="29"/>
      <c r="H406" s="29"/>
      <c r="I406" s="895">
        <f>SUM(I402:I404)</f>
        <v>15774747.987260459</v>
      </c>
      <c r="J406" s="30"/>
      <c r="K406" s="895">
        <f>SUM(K402:K404)</f>
        <v>5006.2672127135702</v>
      </c>
      <c r="L406" s="53"/>
      <c r="M406" s="212">
        <f>+I406/($K$114*$I$72)</f>
        <v>125.15668031783925</v>
      </c>
      <c r="N406" s="53"/>
      <c r="O406" s="213">
        <f>+I406/($I$34+$I$38)</f>
        <v>3.7252917669761385</v>
      </c>
      <c r="P406" s="53"/>
      <c r="Q406" s="214">
        <f>+I406/($I$25*($I$34+$I$38))</f>
        <v>7.9261526956939127E-3</v>
      </c>
      <c r="R406" s="53"/>
      <c r="S406" s="212">
        <f>+I406/($I$36+$I$40)</f>
        <v>39.115563553249459</v>
      </c>
      <c r="T406" s="239"/>
      <c r="U406" s="416">
        <f>+I406/(($I$36+$I$40)*$I$25)</f>
        <v>8.3224603304786079E-2</v>
      </c>
    </row>
    <row r="407" spans="1:21" ht="22.8">
      <c r="A407" s="266"/>
      <c r="B407" s="38"/>
      <c r="C407" s="29"/>
      <c r="D407" s="29"/>
      <c r="E407" s="29"/>
      <c r="F407" s="29"/>
      <c r="G407" s="29"/>
      <c r="H407" s="29"/>
      <c r="I407" s="891"/>
      <c r="J407" s="30"/>
      <c r="K407" s="892"/>
      <c r="L407" s="53"/>
      <c r="M407" s="53"/>
      <c r="N407" s="53"/>
      <c r="O407" s="53"/>
      <c r="P407" s="53"/>
      <c r="Q407" s="54"/>
      <c r="R407" s="53"/>
      <c r="S407" s="53"/>
      <c r="T407" s="239"/>
      <c r="U407" s="416"/>
    </row>
    <row r="408" spans="1:21" ht="22.8">
      <c r="A408" s="265" t="s">
        <v>196</v>
      </c>
      <c r="B408" s="211" t="s">
        <v>189</v>
      </c>
      <c r="C408" s="29"/>
      <c r="D408" s="29"/>
      <c r="E408" s="29"/>
      <c r="F408" s="29"/>
      <c r="G408" s="29"/>
      <c r="H408" s="29"/>
      <c r="I408" s="895">
        <f>+((K142*(M255*(1-M259))/M257))*(1+I261)</f>
        <v>1014360.0000000001</v>
      </c>
      <c r="J408" s="196"/>
      <c r="K408" s="898">
        <f>+I408/$K$114</f>
        <v>321.91685179308161</v>
      </c>
      <c r="L408" s="216"/>
      <c r="M408" s="215">
        <f>+I408/($K$114*$I$72)</f>
        <v>8.0479212948270398</v>
      </c>
      <c r="N408" s="216"/>
      <c r="O408" s="217">
        <f>+I408/($I$34+$I$38)</f>
        <v>0.2395465816507262</v>
      </c>
      <c r="P408" s="216"/>
      <c r="Q408" s="218">
        <f>+I408/($I$25*($I$34+$I$38))</f>
        <v>5.0967357798026856E-4</v>
      </c>
      <c r="R408" s="216"/>
      <c r="S408" s="215">
        <f>+I408/($I$36+$I$40)</f>
        <v>2.5152391073326252</v>
      </c>
      <c r="T408" s="240"/>
      <c r="U408" s="416">
        <f>+I408/(($I$36+$I$40)*$I$25)</f>
        <v>5.3515725687928199E-3</v>
      </c>
    </row>
    <row r="409" spans="1:21" ht="22.8">
      <c r="A409" s="265"/>
      <c r="B409" s="211"/>
      <c r="C409" s="29"/>
      <c r="D409" s="29"/>
      <c r="E409" s="29"/>
      <c r="F409" s="29"/>
      <c r="G409" s="29"/>
      <c r="H409" s="29"/>
      <c r="I409" s="891"/>
      <c r="J409" s="30"/>
      <c r="K409" s="899"/>
      <c r="L409" s="53"/>
      <c r="M409" s="30"/>
      <c r="N409" s="53"/>
      <c r="O409" s="36"/>
      <c r="P409" s="53"/>
      <c r="Q409" s="36"/>
      <c r="R409" s="53"/>
      <c r="S409" s="36"/>
      <c r="T409" s="239"/>
      <c r="U409" s="416"/>
    </row>
    <row r="410" spans="1:21" ht="22.8">
      <c r="A410" s="265" t="s">
        <v>197</v>
      </c>
      <c r="B410" s="211" t="s">
        <v>188</v>
      </c>
      <c r="C410" s="29"/>
      <c r="D410" s="29"/>
      <c r="E410" s="29"/>
      <c r="F410" s="29"/>
      <c r="G410" s="29"/>
      <c r="H410" s="29"/>
      <c r="I410" s="890">
        <f>+((I144*(M263*(1-M267))/M265))*(1+I269)</f>
        <v>0</v>
      </c>
      <c r="J410" s="30"/>
      <c r="K410" s="898">
        <f>+I410/$K$114</f>
        <v>0</v>
      </c>
      <c r="L410" s="216"/>
      <c r="M410" s="215">
        <f>+I410/($K$114*$I$72)</f>
        <v>0</v>
      </c>
      <c r="N410" s="216"/>
      <c r="O410" s="217">
        <f>+I410/($I$34+$I$38)</f>
        <v>0</v>
      </c>
      <c r="P410" s="216"/>
      <c r="Q410" s="218">
        <f>+I410/($I$25*($I$34+$I$38))</f>
        <v>0</v>
      </c>
      <c r="R410" s="216"/>
      <c r="S410" s="215">
        <f>+I410/($I$36+$I$40)</f>
        <v>0</v>
      </c>
      <c r="T410" s="240"/>
      <c r="U410" s="416">
        <f>+I410/(($I$36+$I$40)*$I$25)</f>
        <v>0</v>
      </c>
    </row>
    <row r="411" spans="1:21" ht="22.8">
      <c r="A411" s="265"/>
      <c r="B411" s="211"/>
      <c r="C411" s="29"/>
      <c r="D411" s="29"/>
      <c r="E411" s="29"/>
      <c r="F411" s="29"/>
      <c r="G411" s="29"/>
      <c r="H411" s="29"/>
      <c r="I411" s="891"/>
      <c r="J411" s="30"/>
      <c r="K411" s="899"/>
      <c r="L411" s="53"/>
      <c r="M411" s="30"/>
      <c r="N411" s="53"/>
      <c r="O411" s="36"/>
      <c r="P411" s="53"/>
      <c r="Q411" s="36"/>
      <c r="R411" s="53"/>
      <c r="S411" s="36"/>
      <c r="T411" s="239"/>
      <c r="U411" s="416"/>
    </row>
    <row r="412" spans="1:21" ht="22.8">
      <c r="A412" s="265" t="s">
        <v>198</v>
      </c>
      <c r="B412" s="211" t="s">
        <v>506</v>
      </c>
      <c r="C412" s="29"/>
      <c r="D412" s="29"/>
      <c r="E412" s="29"/>
      <c r="F412" s="29"/>
      <c r="G412" s="29"/>
      <c r="H412" s="29"/>
      <c r="I412" s="895">
        <f>+((K148*(M273*(1-M277))/M275))*(1+I279)</f>
        <v>1521540</v>
      </c>
      <c r="J412" s="30"/>
      <c r="K412" s="898">
        <f>+I412/$K$114</f>
        <v>482.87527768962235</v>
      </c>
      <c r="L412" s="53"/>
      <c r="M412" s="215">
        <f>+I412/($K$114*$I$72)</f>
        <v>12.071881942240559</v>
      </c>
      <c r="N412" s="53"/>
      <c r="O412" s="217">
        <f>+I412/($I$34+$I$38)</f>
        <v>0.35931987247608926</v>
      </c>
      <c r="P412" s="53"/>
      <c r="Q412" s="218">
        <f>+I412/($I$25*($I$34+$I$38))</f>
        <v>7.6451036697040267E-4</v>
      </c>
      <c r="R412" s="53"/>
      <c r="S412" s="215">
        <f>+I412/($I$36+$I$40)</f>
        <v>3.7728586609989376</v>
      </c>
      <c r="T412" s="239"/>
      <c r="U412" s="416">
        <f>+I412/(($I$36+$I$40)*$I$25)</f>
        <v>8.0273588531892294E-3</v>
      </c>
    </row>
    <row r="413" spans="1:21" ht="22.8">
      <c r="A413" s="46"/>
      <c r="B413" s="29"/>
      <c r="C413" s="29"/>
      <c r="D413" s="29"/>
      <c r="E413" s="29"/>
      <c r="F413" s="29"/>
      <c r="G413" s="29"/>
      <c r="H413" s="29"/>
      <c r="I413" s="891"/>
      <c r="J413" s="30"/>
      <c r="K413" s="897"/>
      <c r="L413" s="53"/>
      <c r="M413" s="53"/>
      <c r="N413" s="53"/>
      <c r="O413" s="53"/>
      <c r="P413" s="53"/>
      <c r="Q413" s="54"/>
      <c r="R413" s="53"/>
      <c r="S413" s="53"/>
      <c r="T413" s="239"/>
      <c r="U413" s="416"/>
    </row>
    <row r="414" spans="1:21" ht="22.8">
      <c r="A414" s="265" t="s">
        <v>199</v>
      </c>
      <c r="B414" s="29"/>
      <c r="C414" s="45" t="s">
        <v>137</v>
      </c>
      <c r="D414" s="29"/>
      <c r="E414" s="29"/>
      <c r="F414" s="29"/>
      <c r="G414" s="29"/>
      <c r="H414" s="29"/>
      <c r="I414" s="894">
        <f>+I406+I408+I410+I412</f>
        <v>18310647.987260461</v>
      </c>
      <c r="J414" s="30"/>
      <c r="K414" s="894">
        <f>+K406+K408+K410+K412</f>
        <v>5811.059342196274</v>
      </c>
      <c r="L414" s="53"/>
      <c r="M414" s="206">
        <f>+M406+M408+M410+M412</f>
        <v>145.27648355490686</v>
      </c>
      <c r="N414" s="53"/>
      <c r="O414" s="207">
        <f>+O406+O408+O410+O412</f>
        <v>4.3241582211029534</v>
      </c>
      <c r="P414" s="53"/>
      <c r="Q414" s="208">
        <f>+Q406+Q408+Q410+Q412</f>
        <v>9.2003366406445842E-3</v>
      </c>
      <c r="R414" s="53"/>
      <c r="S414" s="206">
        <f>+S406+S408+S410+S412</f>
        <v>45.403661321581019</v>
      </c>
      <c r="T414" s="239"/>
      <c r="U414" s="436">
        <f>+U406+U408+U410+U412</f>
        <v>9.6603534726768123E-2</v>
      </c>
    </row>
    <row r="415" spans="1:21" ht="22.8">
      <c r="A415" s="274"/>
      <c r="B415" s="55"/>
      <c r="C415" s="56"/>
      <c r="D415" s="56"/>
      <c r="E415" s="56"/>
      <c r="F415" s="56"/>
      <c r="G415" s="56"/>
      <c r="H415" s="56"/>
      <c r="I415" s="891"/>
      <c r="J415" s="30"/>
      <c r="K415" s="900"/>
      <c r="L415" s="56"/>
      <c r="M415" s="56"/>
      <c r="N415" s="56"/>
      <c r="O415" s="57"/>
      <c r="P415" s="57"/>
      <c r="Q415" s="56"/>
      <c r="R415" s="56"/>
      <c r="S415" s="56"/>
      <c r="T415" s="241"/>
      <c r="U415" s="416"/>
    </row>
    <row r="416" spans="1:21" ht="24.6">
      <c r="A416" s="275" t="s">
        <v>297</v>
      </c>
      <c r="B416" s="55"/>
      <c r="C416" s="56"/>
      <c r="D416" s="56"/>
      <c r="E416" s="56"/>
      <c r="F416" s="56"/>
      <c r="G416" s="56"/>
      <c r="H416" s="56"/>
      <c r="I416" s="896">
        <f>+I414+I396+I386</f>
        <v>42412922.627895772</v>
      </c>
      <c r="J416" s="30"/>
      <c r="K416" s="896">
        <f>+K414+K396+K386</f>
        <v>13460.146819389329</v>
      </c>
      <c r="L416" s="56"/>
      <c r="M416" s="221">
        <f>+M414+M396+M386</f>
        <v>336.50367048473328</v>
      </c>
      <c r="N416" s="56"/>
      <c r="O416" s="222">
        <f>+O414+O396+O386</f>
        <v>10.016040294697312</v>
      </c>
      <c r="P416" s="57"/>
      <c r="Q416" s="223">
        <f>+Q414+Q396+Q386</f>
        <v>2.1310724031270885E-2</v>
      </c>
      <c r="R416" s="56"/>
      <c r="S416" s="221">
        <f>+S414+S396+S386</f>
        <v>105.16842309432181</v>
      </c>
      <c r="T416" s="241"/>
      <c r="U416" s="436">
        <f>+U414+U396+U386</f>
        <v>0.22376260232834427</v>
      </c>
    </row>
    <row r="417" spans="1:21" ht="23.4" thickBot="1">
      <c r="A417" s="277"/>
      <c r="B417" s="250"/>
      <c r="C417" s="251"/>
      <c r="D417" s="251"/>
      <c r="E417" s="251"/>
      <c r="F417" s="251"/>
      <c r="G417" s="251"/>
      <c r="H417" s="251"/>
      <c r="I417" s="927"/>
      <c r="J417" s="253"/>
      <c r="K417" s="251"/>
      <c r="L417" s="251"/>
      <c r="M417" s="251"/>
      <c r="N417" s="251"/>
      <c r="O417" s="254"/>
      <c r="P417" s="254"/>
      <c r="Q417" s="251"/>
      <c r="R417" s="251"/>
      <c r="S417" s="251"/>
      <c r="T417" s="287"/>
      <c r="U417" s="437"/>
    </row>
    <row r="418" spans="1:21" ht="15.6" thickTop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415"/>
    </row>
    <row r="419" spans="1:2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415"/>
    </row>
    <row r="420" spans="1:2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415"/>
    </row>
    <row r="421" spans="1: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415"/>
    </row>
    <row r="422" spans="1:2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415"/>
    </row>
    <row r="423" spans="1:2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415"/>
    </row>
    <row r="424" spans="1:2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415"/>
    </row>
    <row r="425" spans="1:2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415"/>
    </row>
    <row r="426" spans="1:2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415"/>
    </row>
    <row r="427" spans="1:2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415"/>
    </row>
    <row r="428" spans="1:2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415"/>
    </row>
    <row r="429" spans="1:2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415"/>
    </row>
    <row r="430" spans="1:21">
      <c r="A430" s="28"/>
      <c r="B430" s="28"/>
      <c r="C430" s="28"/>
      <c r="D430" s="28"/>
      <c r="E430" s="28"/>
      <c r="F430" s="28"/>
      <c r="G430" s="28"/>
      <c r="H430" s="1453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415"/>
    </row>
    <row r="431" spans="1:2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415"/>
    </row>
    <row r="432" spans="1:2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415"/>
    </row>
    <row r="433" spans="1:2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415"/>
    </row>
    <row r="434" spans="1:2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415"/>
    </row>
    <row r="435" spans="1:2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415"/>
    </row>
    <row r="436" spans="1:2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415"/>
    </row>
    <row r="437" spans="1:2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415"/>
    </row>
    <row r="438" spans="1:2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415"/>
    </row>
    <row r="439" spans="1:2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415"/>
    </row>
    <row r="440" spans="1:21">
      <c r="A440" s="28"/>
      <c r="B440" s="28" t="s">
        <v>794</v>
      </c>
      <c r="C440" s="28" t="s">
        <v>795</v>
      </c>
      <c r="D440" s="28" t="s">
        <v>796</v>
      </c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415"/>
    </row>
    <row r="441" spans="1:21">
      <c r="A441" s="28" t="s">
        <v>797</v>
      </c>
      <c r="B441" s="1050">
        <f>$Q$294</f>
        <v>7.1993579205457731E-4</v>
      </c>
      <c r="C441" s="1050">
        <f>$Q$294</f>
        <v>7.1993579205457731E-4</v>
      </c>
      <c r="D441" s="1050">
        <f>$Q$294</f>
        <v>7.1993579205457731E-4</v>
      </c>
      <c r="E441" s="1451">
        <f t="shared" ref="E441:E446" si="0">+D441/$D$448</f>
        <v>3.6808150548990011E-2</v>
      </c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415"/>
    </row>
    <row r="442" spans="1:21">
      <c r="A442" s="28" t="s">
        <v>798</v>
      </c>
      <c r="B442" s="1050">
        <f>$Q$296</f>
        <v>5.0289681273463322E-3</v>
      </c>
      <c r="C442" s="1050">
        <f>$Q$296</f>
        <v>5.0289681273463322E-3</v>
      </c>
      <c r="D442" s="1050">
        <f>$Q$296</f>
        <v>5.0289681273463322E-3</v>
      </c>
      <c r="E442" s="1451">
        <f t="shared" si="0"/>
        <v>0.25711600670550278</v>
      </c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415"/>
    </row>
    <row r="443" spans="1:21">
      <c r="A443" s="28" t="s">
        <v>500</v>
      </c>
      <c r="B443" s="1051">
        <f>$Q$302</f>
        <v>9.0286343419563469E-4</v>
      </c>
      <c r="C443" s="1051">
        <f>$Q$302</f>
        <v>9.0286343419563469E-4</v>
      </c>
      <c r="D443" s="1051">
        <f>$Q$302</f>
        <v>9.0286343419563469E-4</v>
      </c>
      <c r="E443" s="1451">
        <f t="shared" si="0"/>
        <v>4.6160690408529839E-2</v>
      </c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415"/>
    </row>
    <row r="444" spans="1:21">
      <c r="A444" s="28" t="s">
        <v>799</v>
      </c>
      <c r="B444" s="1050">
        <f>$Q$298+$Q$300</f>
        <v>5.735461777030491E-3</v>
      </c>
      <c r="C444" s="1050">
        <f>$Q$298+$Q$300</f>
        <v>5.735461777030491E-3</v>
      </c>
      <c r="D444" s="1050">
        <f>$Q$298+$Q$300</f>
        <v>5.735461777030491E-3</v>
      </c>
      <c r="E444" s="1451">
        <f t="shared" si="0"/>
        <v>0.29323690096645733</v>
      </c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415"/>
    </row>
    <row r="445" spans="1:21">
      <c r="A445" s="28" t="s">
        <v>800</v>
      </c>
      <c r="C445" s="1050">
        <f>$Q$341+$Q$343+$Q$345</f>
        <v>1.6128910695578115E-3</v>
      </c>
      <c r="D445" s="1050">
        <f>$Q$341+$Q$343+$Q$345</f>
        <v>1.6128910695578115E-3</v>
      </c>
      <c r="E445" s="1451">
        <f t="shared" si="0"/>
        <v>8.2462266722398037E-2</v>
      </c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415"/>
    </row>
    <row r="446" spans="1:21">
      <c r="A446" s="30" t="s">
        <v>801</v>
      </c>
      <c r="B446" s="30"/>
      <c r="C446" s="30"/>
      <c r="D446" s="1052">
        <f>Q315+Q317+Q325</f>
        <v>5.5590204063602948E-3</v>
      </c>
      <c r="E446" s="1452">
        <f t="shared" si="0"/>
        <v>0.28421598464812209</v>
      </c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414"/>
    </row>
    <row r="447" spans="1:2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414"/>
    </row>
    <row r="448" spans="1:21">
      <c r="A448" s="30"/>
      <c r="B448" s="30"/>
      <c r="C448" s="30"/>
      <c r="D448" s="1052">
        <f>SUM(D441:D447)</f>
        <v>1.955914060654514E-2</v>
      </c>
      <c r="E448" s="1452">
        <f>SUM(E441:E447)</f>
        <v>1</v>
      </c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414"/>
    </row>
    <row r="449" spans="1:21">
      <c r="A449" s="30"/>
      <c r="B449" s="28"/>
      <c r="C449" s="30"/>
      <c r="D449" s="30"/>
      <c r="E449" s="1452"/>
      <c r="F449" s="30"/>
      <c r="G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414"/>
    </row>
    <row r="450" spans="1:21">
      <c r="A450" s="30"/>
      <c r="B450" s="1052"/>
      <c r="C450" s="1052"/>
      <c r="D450" s="1052">
        <f>+D446/D448</f>
        <v>0.28421598464812209</v>
      </c>
      <c r="E450" s="1052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414"/>
    </row>
    <row r="451" spans="1:21">
      <c r="A451" s="30"/>
      <c r="B451" s="1052"/>
      <c r="C451" s="1052"/>
      <c r="D451" s="1052"/>
      <c r="E451" s="1052"/>
      <c r="F451" s="1052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414"/>
    </row>
    <row r="452" spans="1:21">
      <c r="A452" s="30"/>
      <c r="B452" s="1052"/>
      <c r="C452" s="1052"/>
      <c r="D452" s="1052"/>
      <c r="E452" s="1052"/>
      <c r="F452" s="1052"/>
      <c r="G452" s="1052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414"/>
    </row>
    <row r="453" spans="1:21">
      <c r="A453" s="30"/>
      <c r="B453" s="30"/>
      <c r="C453" s="30"/>
      <c r="D453" s="1251">
        <f>+D446/D448</f>
        <v>0.28421598464812209</v>
      </c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414"/>
    </row>
    <row r="454" spans="1:2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414"/>
    </row>
    <row r="455" spans="1:2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414"/>
    </row>
    <row r="456" spans="1:2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414"/>
    </row>
    <row r="457" spans="1:2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414"/>
    </row>
    <row r="458" spans="1:2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414"/>
    </row>
    <row r="459" spans="1:2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414"/>
    </row>
    <row r="460" spans="1:2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414"/>
    </row>
    <row r="461" spans="1:2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414"/>
    </row>
    <row r="462" spans="1:2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414"/>
    </row>
    <row r="463" spans="1:2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414"/>
    </row>
    <row r="464" spans="1:2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414"/>
    </row>
    <row r="465" spans="1:2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414"/>
    </row>
    <row r="466" spans="1:2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414"/>
    </row>
    <row r="467" spans="1:2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414"/>
    </row>
    <row r="468" spans="1:2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414"/>
    </row>
    <row r="469" spans="1:2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414"/>
    </row>
    <row r="470" spans="1:2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414"/>
    </row>
    <row r="471" spans="1:2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414"/>
    </row>
    <row r="472" spans="1:2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414"/>
    </row>
    <row r="473" spans="1:2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414"/>
    </row>
    <row r="474" spans="1:2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414"/>
    </row>
    <row r="475" spans="1:2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414"/>
    </row>
    <row r="476" spans="1:2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414"/>
    </row>
    <row r="477" spans="1:2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414"/>
    </row>
    <row r="478" spans="1:2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414"/>
    </row>
    <row r="479" spans="1:2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414"/>
    </row>
    <row r="480" spans="1:2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414"/>
    </row>
    <row r="481" spans="1:2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414"/>
    </row>
    <row r="482" spans="1:2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414"/>
    </row>
    <row r="483" spans="1:2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414"/>
    </row>
    <row r="484" spans="1:2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414"/>
    </row>
    <row r="485" spans="1:2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414"/>
    </row>
    <row r="486" spans="1:2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414"/>
    </row>
    <row r="487" spans="1:2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414"/>
    </row>
    <row r="488" spans="1:2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414"/>
    </row>
    <row r="489" spans="1:2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414"/>
    </row>
    <row r="490" spans="1:2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414"/>
    </row>
    <row r="491" spans="1:2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414"/>
    </row>
    <row r="492" spans="1:2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414"/>
    </row>
    <row r="493" spans="1:2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414"/>
    </row>
    <row r="494" spans="1:2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414"/>
    </row>
    <row r="495" spans="1:2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414"/>
    </row>
    <row r="496" spans="1:2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414"/>
    </row>
    <row r="497" spans="1:2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414"/>
    </row>
    <row r="498" spans="1:2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414"/>
    </row>
    <row r="499" spans="1:2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414"/>
    </row>
    <row r="500" spans="1:2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414"/>
    </row>
    <row r="501" spans="1:2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414"/>
    </row>
    <row r="502" spans="1:2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414"/>
    </row>
    <row r="503" spans="1:2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414"/>
    </row>
    <row r="504" spans="1:2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414"/>
    </row>
    <row r="505" spans="1:2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414"/>
    </row>
    <row r="506" spans="1:2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414"/>
    </row>
    <row r="507" spans="1:2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414"/>
    </row>
    <row r="508" spans="1:2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414"/>
    </row>
    <row r="509" spans="1:2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414"/>
    </row>
    <row r="510" spans="1:2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414"/>
    </row>
    <row r="511" spans="1:2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414"/>
    </row>
    <row r="512" spans="1:2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414"/>
    </row>
    <row r="513" spans="1:2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414"/>
    </row>
    <row r="514" spans="1:2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414"/>
    </row>
    <row r="515" spans="1:2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414"/>
    </row>
    <row r="516" spans="1:2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414"/>
    </row>
    <row r="517" spans="1:2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414"/>
    </row>
    <row r="518" spans="1:2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414"/>
    </row>
    <row r="519" spans="1:2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414"/>
    </row>
    <row r="520" spans="1:2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414"/>
    </row>
    <row r="521" spans="1: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414"/>
    </row>
    <row r="522" spans="1:2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414"/>
    </row>
    <row r="523" spans="1:2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414"/>
    </row>
    <row r="524" spans="1:2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414"/>
    </row>
    <row r="525" spans="1:2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414"/>
    </row>
    <row r="526" spans="1:2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414"/>
    </row>
    <row r="527" spans="1:2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414"/>
    </row>
    <row r="528" spans="1:2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414"/>
    </row>
    <row r="529" spans="1:2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414"/>
    </row>
    <row r="530" spans="1:2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414"/>
    </row>
    <row r="531" spans="1:2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414"/>
    </row>
    <row r="532" spans="1:2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414"/>
    </row>
    <row r="533" spans="1:2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414"/>
    </row>
    <row r="534" spans="1:2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414"/>
    </row>
    <row r="535" spans="1:2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414"/>
    </row>
    <row r="536" spans="1:2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414"/>
    </row>
    <row r="537" spans="1:2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414"/>
    </row>
    <row r="538" spans="1:2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414"/>
    </row>
    <row r="539" spans="1:2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414"/>
    </row>
    <row r="540" spans="1:2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414"/>
    </row>
    <row r="541" spans="1:2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414"/>
    </row>
    <row r="542" spans="1:2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414"/>
    </row>
    <row r="543" spans="1:2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414"/>
    </row>
    <row r="544" spans="1:2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414"/>
    </row>
    <row r="545" spans="1:2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414"/>
    </row>
    <row r="546" spans="1:2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414"/>
    </row>
    <row r="547" spans="1:2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414"/>
    </row>
    <row r="548" spans="1:2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414"/>
    </row>
    <row r="549" spans="1:2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414"/>
    </row>
    <row r="550" spans="1:2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414"/>
    </row>
    <row r="551" spans="1:2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414"/>
    </row>
    <row r="552" spans="1:2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414"/>
    </row>
    <row r="553" spans="1:2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414"/>
    </row>
    <row r="554" spans="1:2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414"/>
    </row>
    <row r="555" spans="1:2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414"/>
    </row>
    <row r="556" spans="1:2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414"/>
    </row>
    <row r="557" spans="1:2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414"/>
    </row>
    <row r="558" spans="1:2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414"/>
    </row>
    <row r="559" spans="1:2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414"/>
    </row>
    <row r="560" spans="1:2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414"/>
    </row>
    <row r="561" spans="1:2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414"/>
    </row>
    <row r="562" spans="1:2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414"/>
    </row>
    <row r="563" spans="1:2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414"/>
    </row>
    <row r="564" spans="1:2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414"/>
    </row>
    <row r="565" spans="1:2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414"/>
    </row>
    <row r="566" spans="1:2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414"/>
    </row>
    <row r="567" spans="1:2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414"/>
    </row>
    <row r="568" spans="1:2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414"/>
    </row>
    <row r="569" spans="1:2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414"/>
    </row>
    <row r="570" spans="1:2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414"/>
    </row>
    <row r="571" spans="1:2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414"/>
    </row>
    <row r="572" spans="1:2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414"/>
    </row>
    <row r="573" spans="1:2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414"/>
    </row>
  </sheetData>
  <mergeCells count="1">
    <mergeCell ref="A1:H1"/>
  </mergeCells>
  <phoneticPr fontId="0" type="noConversion"/>
  <pageMargins left="0.7" right="0.7" top="0.75" bottom="0.75" header="0.3" footer="0.3"/>
  <pageSetup paperSize="9" scale="33" orientation="landscape" r:id="rId1"/>
  <rowBreaks count="6" manualBreakCount="6">
    <brk id="51" max="16383" man="1"/>
    <brk id="118" max="16383" man="1"/>
    <brk id="182" max="16383" man="1"/>
    <brk id="217" max="16383" man="1"/>
    <brk id="280" max="16383" man="1"/>
    <brk id="35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tabColor rgb="FF6600CC"/>
  </sheetPr>
  <dimension ref="A1:T385"/>
  <sheetViews>
    <sheetView topLeftCell="A285" zoomScale="73" zoomScaleNormal="73" workbookViewId="0">
      <selection activeCell="A265" sqref="A265:Q330"/>
    </sheetView>
  </sheetViews>
  <sheetFormatPr defaultRowHeight="15"/>
  <cols>
    <col min="7" max="7" width="20.6328125" customWidth="1"/>
    <col min="8" max="8" width="30.90625" customWidth="1"/>
    <col min="9" max="9" width="29.81640625" customWidth="1"/>
    <col min="11" max="11" width="18.90625" customWidth="1"/>
    <col min="13" max="13" width="25.81640625" customWidth="1"/>
    <col min="15" max="15" width="12.54296875" customWidth="1"/>
    <col min="17" max="17" width="34.1796875" customWidth="1"/>
    <col min="18" max="18" width="33.90625" customWidth="1"/>
    <col min="19" max="19" width="12.81640625" customWidth="1"/>
    <col min="21" max="21" width="11.81640625" customWidth="1"/>
  </cols>
  <sheetData>
    <row r="1" spans="1:18" ht="45" thickTop="1">
      <c r="A1" s="1551" t="s">
        <v>684</v>
      </c>
      <c r="B1" s="1552"/>
      <c r="C1" s="1552"/>
      <c r="D1" s="1552"/>
      <c r="E1" s="1552"/>
      <c r="F1" s="1552"/>
      <c r="G1" s="1552"/>
      <c r="H1" s="1552"/>
      <c r="I1" s="289"/>
      <c r="J1" s="289"/>
      <c r="K1" s="289"/>
      <c r="L1" s="289"/>
      <c r="M1" s="289"/>
      <c r="N1" s="289"/>
      <c r="O1" s="348"/>
      <c r="P1" s="349"/>
      <c r="Q1" s="347"/>
      <c r="R1" s="290"/>
    </row>
    <row r="2" spans="1:18" ht="15.6" thickBot="1">
      <c r="A2" s="291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92"/>
    </row>
    <row r="3" spans="1:18" ht="23.4" thickTop="1">
      <c r="A3" s="1098" t="s">
        <v>200</v>
      </c>
      <c r="B3" s="1099"/>
      <c r="C3" s="1099"/>
      <c r="D3" s="1099"/>
      <c r="E3" s="1099"/>
      <c r="F3" s="1099"/>
      <c r="G3" s="1099"/>
      <c r="H3" s="1099"/>
      <c r="I3" s="1100"/>
      <c r="J3" s="1101"/>
      <c r="K3" s="1102"/>
      <c r="L3" s="1102"/>
      <c r="M3" s="1102"/>
      <c r="N3" s="1102"/>
      <c r="O3" s="1102"/>
      <c r="P3" s="1102"/>
      <c r="Q3" s="1102"/>
      <c r="R3" s="1103"/>
    </row>
    <row r="4" spans="1:18">
      <c r="A4" s="1185"/>
      <c r="B4" s="1186"/>
      <c r="C4" s="1186"/>
      <c r="D4" s="1186"/>
      <c r="E4" s="1186"/>
      <c r="F4" s="1186"/>
      <c r="G4" s="1186"/>
      <c r="H4" s="1186"/>
      <c r="I4" s="1186"/>
      <c r="J4" s="1186"/>
      <c r="K4" s="1186"/>
      <c r="L4" s="1186"/>
      <c r="M4" s="1186"/>
      <c r="N4" s="1186"/>
      <c r="O4" s="1186"/>
      <c r="P4" s="1186"/>
      <c r="Q4" s="1186"/>
      <c r="R4" s="1187"/>
    </row>
    <row r="5" spans="1:18" ht="18.600000000000001">
      <c r="A5" s="1188"/>
      <c r="B5" s="1189"/>
      <c r="C5" s="1189"/>
      <c r="D5" s="1189"/>
      <c r="E5" s="1190"/>
      <c r="F5" s="1191"/>
      <c r="G5" s="1191"/>
      <c r="H5" s="1191"/>
      <c r="I5" s="1191"/>
      <c r="J5" s="1191"/>
      <c r="K5" s="1191"/>
      <c r="L5" s="1191"/>
      <c r="M5" s="1191"/>
      <c r="N5" s="1191"/>
      <c r="O5" s="1191"/>
      <c r="P5" s="1191"/>
      <c r="Q5" s="1191"/>
      <c r="R5" s="1187"/>
    </row>
    <row r="6" spans="1:18" ht="24.6">
      <c r="A6" s="1188"/>
      <c r="B6" s="1189"/>
      <c r="C6" s="1189"/>
      <c r="D6" s="1189"/>
      <c r="E6" s="1190"/>
      <c r="F6" s="1192" t="s">
        <v>392</v>
      </c>
      <c r="G6" s="1186"/>
      <c r="H6" s="1186"/>
      <c r="I6" s="1193" t="s">
        <v>825</v>
      </c>
      <c r="J6" s="1194"/>
      <c r="K6" s="1194"/>
      <c r="L6" s="1194"/>
      <c r="M6" s="1195"/>
      <c r="N6" s="1191"/>
      <c r="O6" s="1191"/>
      <c r="P6" s="1191"/>
      <c r="Q6" s="1191"/>
      <c r="R6" s="1187"/>
    </row>
    <row r="7" spans="1:18" ht="32.4">
      <c r="A7" s="1188"/>
      <c r="B7" s="1189"/>
      <c r="C7" s="1189"/>
      <c r="D7" s="1189"/>
      <c r="E7" s="1190"/>
      <c r="F7" s="1186"/>
      <c r="G7" s="1186"/>
      <c r="H7" s="1186"/>
      <c r="I7" s="1196"/>
      <c r="J7" s="1197"/>
      <c r="K7" s="1197"/>
      <c r="L7" s="1197"/>
      <c r="M7" s="1198"/>
      <c r="N7" s="1186"/>
      <c r="O7" s="1186"/>
      <c r="P7" s="1186"/>
      <c r="Q7" s="1191"/>
      <c r="R7" s="1187"/>
    </row>
    <row r="8" spans="1:18" ht="24.6">
      <c r="A8" s="1199"/>
      <c r="B8" s="1191"/>
      <c r="C8" s="1191"/>
      <c r="D8" s="1191"/>
      <c r="E8" s="1191"/>
      <c r="F8" s="1192" t="s">
        <v>354</v>
      </c>
      <c r="G8" s="1186"/>
      <c r="H8" s="1186"/>
      <c r="I8" s="1200" t="s">
        <v>772</v>
      </c>
      <c r="J8" s="1194"/>
      <c r="K8" s="1194"/>
      <c r="L8" s="1194"/>
      <c r="M8" s="1195"/>
      <c r="N8" s="1186"/>
      <c r="O8" s="1186"/>
      <c r="P8" s="1186"/>
      <c r="Q8" s="1191"/>
      <c r="R8" s="1187"/>
    </row>
    <row r="9" spans="1:18" ht="19.2">
      <c r="A9" s="1199"/>
      <c r="B9" s="1191"/>
      <c r="C9" s="1191"/>
      <c r="D9" s="1191"/>
      <c r="E9" s="1191"/>
      <c r="F9" s="1192"/>
      <c r="G9" s="1186"/>
      <c r="H9" s="1186"/>
      <c r="I9" s="1201"/>
      <c r="J9" s="1202"/>
      <c r="K9" s="1202"/>
      <c r="L9" s="1202"/>
      <c r="M9" s="1203"/>
      <c r="N9" s="1186"/>
      <c r="O9" s="1186"/>
      <c r="P9" s="1186"/>
      <c r="Q9" s="1191"/>
      <c r="R9" s="1187"/>
    </row>
    <row r="10" spans="1:18" ht="24.6">
      <c r="A10" s="1199"/>
      <c r="B10" s="1191"/>
      <c r="C10" s="1191"/>
      <c r="D10" s="1191"/>
      <c r="E10" s="1191"/>
      <c r="F10" s="1192" t="s">
        <v>355</v>
      </c>
      <c r="G10" s="1186"/>
      <c r="H10" s="1186"/>
      <c r="I10" s="1204">
        <f ca="1">TODAY()</f>
        <v>42149</v>
      </c>
      <c r="J10" s="1202"/>
      <c r="K10" s="1202"/>
      <c r="L10" s="1202"/>
      <c r="M10" s="1203"/>
      <c r="N10" s="1186"/>
      <c r="O10" s="1186"/>
      <c r="P10" s="1186"/>
      <c r="Q10" s="1186"/>
      <c r="R10" s="1187"/>
    </row>
    <row r="11" spans="1:18">
      <c r="A11" s="1199"/>
      <c r="B11" s="1191"/>
      <c r="C11" s="1191"/>
      <c r="D11" s="1191"/>
      <c r="E11" s="1191"/>
      <c r="F11" s="1191"/>
      <c r="G11" s="1191"/>
      <c r="H11" s="1191"/>
      <c r="I11" s="1191"/>
      <c r="J11" s="1191"/>
      <c r="K11" s="1191"/>
      <c r="L11" s="1191"/>
      <c r="M11" s="1191"/>
      <c r="N11" s="1186"/>
      <c r="O11" s="1186"/>
      <c r="P11" s="1186"/>
      <c r="Q11" s="1186"/>
      <c r="R11" s="1187"/>
    </row>
    <row r="12" spans="1:18" ht="19.2" thickBot="1">
      <c r="A12" s="1199"/>
      <c r="B12" s="1191"/>
      <c r="C12" s="1191"/>
      <c r="D12" s="1191"/>
      <c r="E12" s="1191"/>
      <c r="F12" s="1191"/>
      <c r="G12" s="1191"/>
      <c r="H12" s="1191"/>
      <c r="I12" s="1186"/>
      <c r="J12" s="1205"/>
      <c r="K12" s="1186"/>
      <c r="L12" s="1186"/>
      <c r="M12" s="1191"/>
      <c r="N12" s="1186"/>
      <c r="O12" s="1186"/>
      <c r="P12" s="1186"/>
      <c r="Q12" s="1186"/>
      <c r="R12" s="1187"/>
    </row>
    <row r="13" spans="1:18" ht="19.8" thickTop="1" thickBot="1">
      <c r="A13" s="1199"/>
      <c r="B13" s="1191"/>
      <c r="C13" s="1191"/>
      <c r="D13" s="1191"/>
      <c r="E13" s="1191"/>
      <c r="F13" s="1191"/>
      <c r="G13" s="1191"/>
      <c r="H13" s="1191"/>
      <c r="I13" s="1206"/>
      <c r="J13" s="1207" t="s">
        <v>783</v>
      </c>
      <c r="K13" s="1186"/>
      <c r="L13" s="1186"/>
      <c r="M13" s="1191"/>
      <c r="N13" s="1186"/>
      <c r="O13" s="1186"/>
      <c r="P13" s="1186"/>
      <c r="Q13" s="1186"/>
      <c r="R13" s="1187"/>
    </row>
    <row r="14" spans="1:18" ht="15.6" thickTop="1">
      <c r="A14" s="1199"/>
      <c r="B14" s="1191"/>
      <c r="C14" s="1191"/>
      <c r="D14" s="1191"/>
      <c r="E14" s="1191"/>
      <c r="F14" s="1191"/>
      <c r="G14" s="1191"/>
      <c r="H14" s="1191"/>
      <c r="I14" s="1208"/>
      <c r="J14" s="1186"/>
      <c r="K14" s="1186"/>
      <c r="L14" s="1186"/>
      <c r="M14" s="1191"/>
      <c r="N14" s="1186"/>
      <c r="O14" s="1186"/>
      <c r="P14" s="1186"/>
      <c r="Q14" s="1186"/>
      <c r="R14" s="1187"/>
    </row>
    <row r="15" spans="1:18" ht="15.6" thickBot="1">
      <c r="A15" s="1185"/>
      <c r="B15" s="1186"/>
      <c r="C15" s="1186"/>
      <c r="D15" s="1186"/>
      <c r="E15" s="1186"/>
      <c r="F15" s="1186"/>
      <c r="G15" s="1186"/>
      <c r="H15" s="1186"/>
      <c r="I15" s="1186"/>
      <c r="J15" s="1186"/>
      <c r="K15" s="1186"/>
      <c r="L15" s="1186"/>
      <c r="M15" s="1186"/>
      <c r="N15" s="1186"/>
      <c r="O15" s="1186"/>
      <c r="P15" s="1186"/>
      <c r="Q15" s="1186"/>
      <c r="R15" s="1209"/>
    </row>
    <row r="16" spans="1:18" ht="23.4" thickTop="1">
      <c r="A16" s="258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247"/>
    </row>
    <row r="17" spans="1:18" ht="22.8">
      <c r="A17" s="259" t="s">
        <v>394</v>
      </c>
      <c r="B17" s="77" t="s">
        <v>395</v>
      </c>
      <c r="C17" s="78"/>
      <c r="D17" s="78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245"/>
    </row>
    <row r="18" spans="1:18" ht="22.8">
      <c r="A18" s="82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245"/>
    </row>
    <row r="19" spans="1:18" ht="23.4" thickBot="1">
      <c r="A19" s="82"/>
      <c r="B19" s="79"/>
      <c r="C19" s="79"/>
      <c r="D19" s="79"/>
      <c r="E19" s="79"/>
      <c r="F19" s="79"/>
      <c r="G19" s="79"/>
      <c r="H19" s="80"/>
      <c r="I19" s="79"/>
      <c r="J19" s="79"/>
      <c r="K19" s="79"/>
      <c r="L19" s="79"/>
      <c r="M19" s="79"/>
      <c r="N19" s="79"/>
      <c r="O19" s="79"/>
      <c r="P19" s="79"/>
      <c r="Q19" s="79"/>
      <c r="R19" s="245"/>
    </row>
    <row r="20" spans="1:18" ht="24" thickTop="1" thickBot="1">
      <c r="A20" s="260" t="s">
        <v>396</v>
      </c>
      <c r="B20" s="81" t="s">
        <v>397</v>
      </c>
      <c r="C20" s="81"/>
      <c r="D20" s="81"/>
      <c r="E20" s="81"/>
      <c r="F20" s="79"/>
      <c r="G20" s="79"/>
      <c r="H20" s="80"/>
      <c r="I20" s="1104" t="s">
        <v>826</v>
      </c>
      <c r="J20" s="82"/>
      <c r="K20" s="79"/>
      <c r="L20" s="79"/>
      <c r="M20" s="79"/>
      <c r="N20" s="79"/>
      <c r="O20" s="79"/>
      <c r="P20" s="79"/>
      <c r="Q20" s="79"/>
      <c r="R20" s="245"/>
    </row>
    <row r="21" spans="1:18" ht="24" thickTop="1" thickBot="1">
      <c r="A21" s="82"/>
      <c r="B21" s="79"/>
      <c r="C21" s="79"/>
      <c r="D21" s="79"/>
      <c r="E21" s="79"/>
      <c r="F21" s="79"/>
      <c r="G21" s="79"/>
      <c r="H21" s="80"/>
      <c r="I21" s="76"/>
      <c r="J21" s="79"/>
      <c r="K21" s="79"/>
      <c r="L21" s="79"/>
      <c r="M21" s="79"/>
      <c r="N21" s="79"/>
      <c r="O21" s="79"/>
      <c r="P21" s="79"/>
      <c r="Q21" s="79"/>
      <c r="R21" s="245"/>
    </row>
    <row r="22" spans="1:18" ht="24" thickTop="1" thickBot="1">
      <c r="A22" s="261" t="s">
        <v>398</v>
      </c>
      <c r="B22" s="83" t="s">
        <v>399</v>
      </c>
      <c r="C22" s="79"/>
      <c r="D22" s="79"/>
      <c r="E22" s="79"/>
      <c r="F22" s="79"/>
      <c r="G22" s="79"/>
      <c r="H22" s="80"/>
      <c r="I22" s="1104">
        <v>360</v>
      </c>
      <c r="J22" s="82"/>
      <c r="K22" s="79"/>
      <c r="L22" s="79"/>
      <c r="M22" s="79"/>
      <c r="N22" s="79"/>
      <c r="O22" s="79"/>
      <c r="P22" s="79"/>
      <c r="Q22" s="79"/>
      <c r="R22" s="245"/>
    </row>
    <row r="23" spans="1:18" ht="24" thickTop="1" thickBot="1">
      <c r="A23" s="82"/>
      <c r="B23" s="79"/>
      <c r="C23" s="79"/>
      <c r="D23" s="79"/>
      <c r="E23" s="79"/>
      <c r="F23" s="79"/>
      <c r="G23" s="79"/>
      <c r="H23" s="80"/>
      <c r="I23" s="76"/>
      <c r="J23" s="79"/>
      <c r="K23" s="79"/>
      <c r="L23" s="79"/>
      <c r="M23" s="79"/>
      <c r="N23" s="79"/>
      <c r="O23" s="79"/>
      <c r="P23" s="79"/>
      <c r="Q23" s="79"/>
      <c r="R23" s="245"/>
    </row>
    <row r="24" spans="1:18" ht="24" thickTop="1" thickBot="1">
      <c r="A24" s="261" t="s">
        <v>400</v>
      </c>
      <c r="B24" s="83" t="s">
        <v>401</v>
      </c>
      <c r="C24" s="79"/>
      <c r="D24" s="79"/>
      <c r="E24" s="79"/>
      <c r="F24" s="79"/>
      <c r="G24" s="79"/>
      <c r="H24" s="80"/>
      <c r="I24" s="1105" t="s">
        <v>583</v>
      </c>
      <c r="J24" s="82"/>
      <c r="K24" s="79"/>
      <c r="L24" s="79"/>
      <c r="M24" s="79"/>
      <c r="N24" s="79"/>
      <c r="O24" s="79"/>
      <c r="P24" s="79"/>
      <c r="Q24" s="79"/>
      <c r="R24" s="245"/>
    </row>
    <row r="25" spans="1:18" ht="24" thickTop="1" thickBot="1">
      <c r="A25" s="82"/>
      <c r="B25" s="79"/>
      <c r="C25" s="79"/>
      <c r="D25" s="79"/>
      <c r="E25" s="79"/>
      <c r="F25" s="79"/>
      <c r="G25" s="79"/>
      <c r="H25" s="80"/>
      <c r="I25" s="84"/>
      <c r="J25" s="79"/>
      <c r="K25" s="79"/>
      <c r="L25" s="79"/>
      <c r="M25" s="79"/>
      <c r="N25" s="79"/>
      <c r="O25" s="79"/>
      <c r="P25" s="79"/>
      <c r="Q25" s="79"/>
      <c r="R25" s="245"/>
    </row>
    <row r="26" spans="1:18" ht="24" thickTop="1" thickBot="1">
      <c r="A26" s="261" t="s">
        <v>402</v>
      </c>
      <c r="B26" s="83" t="s">
        <v>403</v>
      </c>
      <c r="C26" s="79"/>
      <c r="D26" s="79"/>
      <c r="E26" s="79"/>
      <c r="F26" s="79"/>
      <c r="G26" s="79"/>
      <c r="H26" s="80"/>
      <c r="I26" s="1105" t="s">
        <v>592</v>
      </c>
      <c r="J26" s="82"/>
      <c r="K26" s="79"/>
      <c r="L26" s="79"/>
      <c r="M26" s="79"/>
      <c r="N26" s="79"/>
      <c r="O26" s="79"/>
      <c r="P26" s="79"/>
      <c r="Q26" s="79"/>
      <c r="R26" s="245"/>
    </row>
    <row r="27" spans="1:18" ht="24" thickTop="1" thickBot="1">
      <c r="A27" s="261"/>
      <c r="B27" s="83"/>
      <c r="C27" s="79"/>
      <c r="D27" s="79"/>
      <c r="E27" s="79"/>
      <c r="F27" s="79"/>
      <c r="G27" s="79"/>
      <c r="H27" s="80"/>
      <c r="I27" s="85"/>
      <c r="J27" s="79"/>
      <c r="K27" s="79"/>
      <c r="L27" s="79"/>
      <c r="M27" s="79"/>
      <c r="N27" s="79"/>
      <c r="O27" s="79"/>
      <c r="P27" s="79"/>
      <c r="Q27" s="79"/>
      <c r="R27" s="245"/>
    </row>
    <row r="28" spans="1:18" ht="24" thickTop="1" thickBot="1">
      <c r="A28" s="261" t="s">
        <v>404</v>
      </c>
      <c r="B28" s="83" t="s">
        <v>405</v>
      </c>
      <c r="C28" s="79"/>
      <c r="D28" s="79"/>
      <c r="E28" s="79"/>
      <c r="F28" s="79"/>
      <c r="G28" s="79"/>
      <c r="H28" s="80"/>
      <c r="I28" s="1106">
        <f>sysdata!E25</f>
        <v>470</v>
      </c>
      <c r="J28" s="82"/>
      <c r="K28" s="79"/>
      <c r="L28" s="79"/>
      <c r="M28" s="79"/>
      <c r="N28" s="79"/>
      <c r="O28" s="79"/>
      <c r="P28" s="79"/>
      <c r="Q28" s="79"/>
      <c r="R28" s="245"/>
    </row>
    <row r="29" spans="1:18" ht="24" thickTop="1" thickBot="1">
      <c r="A29" s="261"/>
      <c r="B29" s="83"/>
      <c r="C29" s="79"/>
      <c r="D29" s="79"/>
      <c r="E29" s="79"/>
      <c r="F29" s="79"/>
      <c r="G29" s="79"/>
      <c r="H29" s="80"/>
      <c r="I29" s="224"/>
      <c r="J29" s="183"/>
      <c r="K29" s="79"/>
      <c r="L29" s="79"/>
      <c r="M29" s="79"/>
      <c r="N29" s="79"/>
      <c r="O29" s="79"/>
      <c r="P29" s="79"/>
      <c r="Q29" s="79"/>
      <c r="R29" s="249"/>
    </row>
    <row r="30" spans="1:18" ht="29.25" customHeight="1" thickTop="1">
      <c r="A30" s="262"/>
      <c r="B30" s="31"/>
      <c r="C30" s="31"/>
      <c r="D30" s="31"/>
      <c r="E30" s="31"/>
      <c r="F30" s="31"/>
      <c r="G30" s="31"/>
      <c r="H30" s="32"/>
      <c r="I30" s="89"/>
      <c r="J30" s="31"/>
      <c r="K30" s="31"/>
      <c r="L30" s="31"/>
      <c r="M30" s="31"/>
      <c r="N30" s="31"/>
      <c r="O30" s="31"/>
      <c r="P30" s="31"/>
      <c r="Q30" s="31"/>
      <c r="R30" s="225"/>
    </row>
    <row r="31" spans="1:18" ht="22.8">
      <c r="A31" s="263" t="s">
        <v>406</v>
      </c>
      <c r="B31" s="34" t="s">
        <v>407</v>
      </c>
      <c r="C31" s="29"/>
      <c r="D31" s="29"/>
      <c r="E31" s="29"/>
      <c r="F31" s="29"/>
      <c r="G31" s="29"/>
      <c r="H31" s="35"/>
      <c r="I31" s="36"/>
      <c r="J31" s="29"/>
      <c r="K31" s="29"/>
      <c r="L31" s="29"/>
      <c r="M31" s="29"/>
      <c r="N31" s="29"/>
      <c r="O31" s="29"/>
      <c r="P31" s="29"/>
      <c r="Q31" s="29"/>
      <c r="R31" s="225"/>
    </row>
    <row r="32" spans="1:18" ht="23.4" thickBot="1">
      <c r="A32" s="46"/>
      <c r="B32" s="29"/>
      <c r="C32" s="29"/>
      <c r="D32" s="29"/>
      <c r="E32" s="29"/>
      <c r="F32" s="29"/>
      <c r="G32" s="29"/>
      <c r="H32" s="35"/>
      <c r="I32" s="36"/>
      <c r="J32" s="29"/>
      <c r="K32" s="29"/>
      <c r="L32" s="29"/>
      <c r="M32" s="29"/>
      <c r="N32" s="29"/>
      <c r="O32" s="29"/>
      <c r="P32" s="29"/>
      <c r="Q32" s="29"/>
      <c r="R32" s="225"/>
    </row>
    <row r="33" spans="1:20" ht="24" thickTop="1" thickBot="1">
      <c r="A33" s="264" t="s">
        <v>351</v>
      </c>
      <c r="B33" s="87" t="s">
        <v>39</v>
      </c>
      <c r="C33" s="29"/>
      <c r="D33" s="29"/>
      <c r="E33" s="29"/>
      <c r="F33" s="29"/>
      <c r="G33" s="29"/>
      <c r="H33" s="35"/>
      <c r="I33" s="1107">
        <v>2</v>
      </c>
      <c r="J33" s="29"/>
      <c r="K33" s="29"/>
      <c r="L33" s="29"/>
      <c r="M33" s="29"/>
      <c r="N33" s="29"/>
      <c r="O33" s="29"/>
      <c r="P33" s="29"/>
      <c r="Q33" s="29"/>
      <c r="R33" s="225"/>
    </row>
    <row r="34" spans="1:20" ht="24" thickTop="1" thickBot="1">
      <c r="A34" s="46"/>
      <c r="B34" s="29"/>
      <c r="C34" s="29"/>
      <c r="D34" s="29"/>
      <c r="E34" s="29"/>
      <c r="F34" s="29"/>
      <c r="G34" s="29"/>
      <c r="H34" s="35"/>
      <c r="I34" s="36"/>
      <c r="J34" s="29"/>
      <c r="K34" s="29"/>
      <c r="L34" s="29"/>
      <c r="M34" s="29"/>
      <c r="N34" s="29"/>
      <c r="O34" s="29"/>
      <c r="P34" s="29"/>
      <c r="Q34" s="29"/>
      <c r="R34" s="225"/>
    </row>
    <row r="35" spans="1:20" ht="24" thickTop="1" thickBot="1">
      <c r="A35" s="264" t="s">
        <v>409</v>
      </c>
      <c r="B35" s="87" t="s">
        <v>40</v>
      </c>
      <c r="C35" s="29"/>
      <c r="D35" s="29"/>
      <c r="E35" s="29"/>
      <c r="F35" s="29"/>
      <c r="G35" s="29"/>
      <c r="H35" s="35"/>
      <c r="I35" s="1108">
        <v>0.1</v>
      </c>
      <c r="J35" s="29"/>
      <c r="K35" s="29"/>
      <c r="L35" s="29"/>
      <c r="M35" s="29"/>
      <c r="N35" s="29"/>
      <c r="O35" s="29"/>
      <c r="P35" s="29"/>
      <c r="Q35" s="29"/>
      <c r="R35" s="225"/>
    </row>
    <row r="36" spans="1:20" ht="24" thickTop="1" thickBot="1">
      <c r="A36" s="46"/>
      <c r="B36" s="29"/>
      <c r="C36" s="29"/>
      <c r="D36" s="29"/>
      <c r="E36" s="29"/>
      <c r="F36" s="29"/>
      <c r="G36" s="29"/>
      <c r="H36" s="35"/>
      <c r="I36" s="36"/>
      <c r="J36" s="29"/>
      <c r="K36" s="29"/>
      <c r="L36" s="29"/>
      <c r="M36" s="29"/>
      <c r="N36" s="29"/>
      <c r="O36" s="29"/>
      <c r="P36" s="29"/>
      <c r="Q36" s="29"/>
      <c r="R36" s="225"/>
    </row>
    <row r="37" spans="1:20" ht="24" thickTop="1" thickBot="1">
      <c r="A37" s="265" t="s">
        <v>412</v>
      </c>
      <c r="B37" s="38" t="s">
        <v>31</v>
      </c>
      <c r="C37" s="29"/>
      <c r="D37" s="29"/>
      <c r="E37" s="29"/>
      <c r="F37" s="29"/>
      <c r="G37" s="29"/>
      <c r="H37" s="35"/>
      <c r="I37" s="1109">
        <v>700000</v>
      </c>
      <c r="J37" s="1110" t="s">
        <v>32</v>
      </c>
      <c r="K37" s="39"/>
      <c r="L37" s="29"/>
      <c r="M37" s="29"/>
      <c r="N37" s="29"/>
      <c r="O37" s="29"/>
      <c r="P37" s="29"/>
      <c r="Q37" s="29"/>
      <c r="R37" s="225"/>
    </row>
    <row r="38" spans="1:20" ht="24" thickTop="1" thickBot="1">
      <c r="A38" s="266"/>
      <c r="B38" s="38"/>
      <c r="C38" s="29"/>
      <c r="D38" s="29"/>
      <c r="E38" s="29"/>
      <c r="F38" s="29"/>
      <c r="G38" s="29"/>
      <c r="H38" s="35"/>
      <c r="I38" s="151">
        <v>8</v>
      </c>
      <c r="J38" s="151"/>
      <c r="K38" s="152"/>
      <c r="L38" s="29"/>
      <c r="M38" s="29"/>
      <c r="N38" s="29"/>
      <c r="O38" s="29"/>
      <c r="P38" s="29"/>
      <c r="Q38" s="29"/>
      <c r="R38" s="225"/>
    </row>
    <row r="39" spans="1:20" ht="24" thickTop="1" thickBot="1">
      <c r="A39" s="265" t="s">
        <v>415</v>
      </c>
      <c r="B39" s="38" t="s">
        <v>36</v>
      </c>
      <c r="C39" s="29"/>
      <c r="D39" s="29"/>
      <c r="E39" s="29"/>
      <c r="F39" s="29"/>
      <c r="G39" s="29"/>
      <c r="H39" s="35"/>
      <c r="I39" s="1111">
        <f>IF(I33=1,0,I37*I35)</f>
        <v>70000</v>
      </c>
      <c r="J39" s="1110" t="s">
        <v>32</v>
      </c>
      <c r="K39" s="39"/>
      <c r="L39" s="29"/>
      <c r="M39" s="29"/>
      <c r="N39" s="29"/>
      <c r="O39" s="29"/>
      <c r="P39" s="29"/>
      <c r="Q39" s="29"/>
      <c r="R39" s="225"/>
    </row>
    <row r="40" spans="1:20" ht="23.4" thickTop="1">
      <c r="A40" s="266"/>
      <c r="B40" s="38"/>
      <c r="C40" s="29"/>
      <c r="D40" s="29"/>
      <c r="E40" s="29"/>
      <c r="F40" s="29"/>
      <c r="G40" s="29"/>
      <c r="H40" s="35"/>
      <c r="I40" s="151"/>
      <c r="J40" s="151"/>
      <c r="K40" s="152"/>
      <c r="L40" s="29"/>
      <c r="M40" s="29"/>
      <c r="N40" s="29"/>
      <c r="O40" s="29"/>
      <c r="P40" s="29"/>
      <c r="Q40" s="29"/>
      <c r="R40" s="225"/>
    </row>
    <row r="41" spans="1:20" ht="22.8">
      <c r="A41" s="265" t="s">
        <v>417</v>
      </c>
      <c r="B41" s="38" t="s">
        <v>201</v>
      </c>
      <c r="C41" s="29"/>
      <c r="D41" s="29"/>
      <c r="E41" s="29"/>
      <c r="F41" s="29"/>
      <c r="G41" s="29"/>
      <c r="H41" s="35"/>
      <c r="I41" s="888">
        <f>+I37+I39</f>
        <v>770000</v>
      </c>
      <c r="J41" s="155" t="s">
        <v>32</v>
      </c>
      <c r="K41" s="152"/>
      <c r="L41" s="29"/>
      <c r="M41" s="29"/>
      <c r="N41" s="29"/>
      <c r="O41" s="29"/>
      <c r="P41" s="29"/>
      <c r="Q41" s="29"/>
      <c r="R41" s="225"/>
    </row>
    <row r="42" spans="1:20" ht="22.8">
      <c r="A42" s="266"/>
      <c r="B42" s="38"/>
      <c r="C42" s="29"/>
      <c r="D42" s="29"/>
      <c r="E42" s="29"/>
      <c r="F42" s="29"/>
      <c r="G42" s="29"/>
      <c r="H42" s="35"/>
      <c r="I42" s="165"/>
      <c r="J42" s="165"/>
      <c r="K42" s="152"/>
      <c r="L42" s="29"/>
      <c r="M42" s="29"/>
      <c r="N42" s="29"/>
      <c r="O42" s="29"/>
      <c r="P42" s="29"/>
      <c r="Q42" s="29"/>
      <c r="R42" s="225"/>
    </row>
    <row r="43" spans="1:20" ht="23.4" thickBot="1">
      <c r="A43" s="265" t="s">
        <v>420</v>
      </c>
      <c r="B43" s="161" t="s">
        <v>416</v>
      </c>
      <c r="C43" s="35"/>
      <c r="D43" s="35"/>
      <c r="E43" s="35"/>
      <c r="F43" s="35"/>
      <c r="G43" s="35"/>
      <c r="H43" s="35"/>
      <c r="I43" s="152"/>
      <c r="J43" s="152"/>
      <c r="K43" s="29"/>
      <c r="L43" s="35"/>
      <c r="M43" s="44"/>
      <c r="N43" s="29"/>
      <c r="O43" s="29"/>
      <c r="P43" s="29"/>
      <c r="Q43" s="29"/>
      <c r="R43" s="225"/>
    </row>
    <row r="44" spans="1:20" ht="24" thickTop="1" thickBot="1">
      <c r="A44" s="265"/>
      <c r="B44" s="161"/>
      <c r="C44" s="35"/>
      <c r="D44" s="35"/>
      <c r="E44" s="35"/>
      <c r="F44" s="35"/>
      <c r="G44" s="35"/>
      <c r="H44" s="35"/>
      <c r="I44" s="1221" t="str">
        <f>sysdata!B106</f>
        <v>Boxcar</v>
      </c>
      <c r="J44" s="152"/>
      <c r="K44" s="1557" t="str">
        <f>sysdata!B105</f>
        <v>Gondola (open top wagon)</v>
      </c>
      <c r="L44" s="1543"/>
      <c r="M44" s="1543"/>
      <c r="N44" s="29"/>
      <c r="O44" s="1557" t="str">
        <f>sysdata!B102</f>
        <v>Non-container flat or low-side wagon</v>
      </c>
      <c r="P44" s="1543"/>
      <c r="Q44" s="1543"/>
      <c r="R44" s="225"/>
      <c r="T44" s="1220"/>
    </row>
    <row r="45" spans="1:20" ht="24" thickTop="1" thickBot="1">
      <c r="A45" s="46"/>
      <c r="B45" s="29"/>
      <c r="C45" s="29"/>
      <c r="D45" s="29"/>
      <c r="E45" s="29"/>
      <c r="F45" s="29"/>
      <c r="G45" s="29"/>
      <c r="H45" s="35"/>
      <c r="I45" s="36"/>
      <c r="J45" s="29"/>
      <c r="K45" s="29"/>
      <c r="L45" s="29"/>
      <c r="M45" s="29"/>
      <c r="N45" s="29"/>
      <c r="O45" s="29"/>
      <c r="P45" s="29"/>
      <c r="Q45" s="29"/>
      <c r="R45" s="225"/>
    </row>
    <row r="46" spans="1:20" ht="24" thickTop="1" thickBot="1">
      <c r="A46" s="264" t="s">
        <v>202</v>
      </c>
      <c r="B46" s="87" t="s">
        <v>203</v>
      </c>
      <c r="C46" s="29"/>
      <c r="D46" s="29"/>
      <c r="E46" s="29"/>
      <c r="F46" s="29"/>
      <c r="G46" s="29"/>
      <c r="H46" s="35"/>
      <c r="I46" s="1112">
        <v>0.5</v>
      </c>
      <c r="J46" s="29"/>
      <c r="K46" s="1554">
        <v>0.5</v>
      </c>
      <c r="L46" s="1555"/>
      <c r="M46" s="1556"/>
      <c r="N46" s="29"/>
      <c r="O46" s="1554">
        <v>0.5</v>
      </c>
      <c r="P46" s="1555"/>
      <c r="Q46" s="1556"/>
      <c r="R46" s="225"/>
    </row>
    <row r="47" spans="1:20" ht="24" thickTop="1" thickBot="1">
      <c r="A47" s="46"/>
      <c r="B47" s="29"/>
      <c r="C47" s="29"/>
      <c r="D47" s="29"/>
      <c r="E47" s="29"/>
      <c r="F47" s="29"/>
      <c r="G47" s="29"/>
      <c r="H47" s="35"/>
      <c r="I47" s="36"/>
      <c r="J47" s="29"/>
      <c r="K47" s="29"/>
      <c r="L47" s="29"/>
      <c r="M47" s="29"/>
      <c r="N47" s="29"/>
      <c r="O47" s="29"/>
      <c r="P47" s="29"/>
      <c r="Q47" s="29"/>
      <c r="R47" s="225"/>
    </row>
    <row r="48" spans="1:20" ht="24" thickTop="1" thickBot="1">
      <c r="A48" s="264" t="s">
        <v>204</v>
      </c>
      <c r="B48" s="87" t="s">
        <v>205</v>
      </c>
      <c r="C48" s="29"/>
      <c r="D48" s="29"/>
      <c r="E48" s="29"/>
      <c r="F48" s="29"/>
      <c r="G48" s="29"/>
      <c r="H48" s="35"/>
      <c r="I48" s="1112">
        <v>0.5</v>
      </c>
      <c r="J48" s="29"/>
      <c r="K48" s="1554">
        <v>0.45</v>
      </c>
      <c r="L48" s="1555"/>
      <c r="M48" s="1556"/>
      <c r="N48" s="29"/>
      <c r="O48" s="1554">
        <v>0.45</v>
      </c>
      <c r="P48" s="1555"/>
      <c r="Q48" s="1556"/>
      <c r="R48" s="225"/>
    </row>
    <row r="49" spans="1:18" ht="23.4" thickTop="1">
      <c r="A49" s="264"/>
      <c r="B49" s="87"/>
      <c r="C49" s="29"/>
      <c r="D49" s="29"/>
      <c r="E49" s="29"/>
      <c r="F49" s="29"/>
      <c r="G49" s="29"/>
      <c r="H49" s="35"/>
      <c r="I49" s="1224"/>
      <c r="J49" s="285"/>
      <c r="K49" s="1224"/>
      <c r="L49" s="386"/>
      <c r="M49" s="386"/>
      <c r="N49" s="285"/>
      <c r="O49" s="1224"/>
      <c r="P49" s="103"/>
      <c r="Q49" s="103"/>
      <c r="R49" s="225"/>
    </row>
    <row r="50" spans="1:18" ht="22.8">
      <c r="A50" s="264"/>
      <c r="B50" s="87"/>
      <c r="C50" s="29"/>
      <c r="D50" s="29"/>
      <c r="E50" s="29"/>
      <c r="F50" s="29"/>
      <c r="G50" s="29"/>
      <c r="H50" s="35"/>
      <c r="I50" s="1225"/>
      <c r="J50" s="1226"/>
      <c r="K50" s="1225"/>
      <c r="L50" s="1227"/>
      <c r="M50" s="1227"/>
      <c r="N50" s="1226"/>
      <c r="O50" s="1225"/>
      <c r="P50" s="1228"/>
      <c r="Q50" s="1228"/>
      <c r="R50" s="1229" t="s">
        <v>829</v>
      </c>
    </row>
    <row r="51" spans="1:18" ht="22.8">
      <c r="A51" s="46"/>
      <c r="B51" s="29"/>
      <c r="C51" s="29"/>
      <c r="D51" s="29"/>
      <c r="E51" s="29"/>
      <c r="F51" s="29"/>
      <c r="G51" s="29"/>
      <c r="H51" s="35"/>
      <c r="I51" s="1230"/>
      <c r="J51" s="1231"/>
      <c r="K51" s="1231"/>
      <c r="L51" s="1231"/>
      <c r="M51" s="1231"/>
      <c r="N51" s="1231"/>
      <c r="O51" s="1231"/>
      <c r="P51" s="1231"/>
      <c r="Q51" s="1231"/>
      <c r="R51" s="1232"/>
    </row>
    <row r="52" spans="1:18" ht="22.8">
      <c r="A52" s="266" t="s">
        <v>206</v>
      </c>
      <c r="B52" s="29"/>
      <c r="C52" s="38" t="s">
        <v>49</v>
      </c>
      <c r="D52" s="29"/>
      <c r="E52" s="29"/>
      <c r="F52" s="29"/>
      <c r="G52" s="29"/>
      <c r="H52" s="35"/>
      <c r="I52" s="1237">
        <f>IF($I$37&gt;$I$39,sysdata!E106*'general freight'!I46,sysdata!E106*'general freight'!I46*$I$35)</f>
        <v>27.04</v>
      </c>
      <c r="J52" s="1234"/>
      <c r="K52" s="1558">
        <f>IF($I$37&gt;$I$39,sysdata!E105*'general freight'!K46,sysdata!E105*'general freight'!K48*$I$35)</f>
        <v>29.405000000000001</v>
      </c>
      <c r="L52" s="1559">
        <f>IF($I$37&gt;$I$39,sysdata!H106*'general freight'!L46,sysdata!H106*'general freight'!L46*$I$35)</f>
        <v>0</v>
      </c>
      <c r="M52" s="1559">
        <f>IF($I$37&gt;$I$39,sysdata!I106*'general freight'!M46,sysdata!I106*'general freight'!M46*$I$35)</f>
        <v>0</v>
      </c>
      <c r="N52" s="1231"/>
      <c r="O52" s="1558">
        <f>IF($I$37&gt;$I$39,sysdata!E102*'general freight'!O46,sysdata!E102*'general freight'!O48*$I$35)</f>
        <v>28.824999999999999</v>
      </c>
      <c r="P52" s="1559">
        <f>IF($I$37&gt;$I$39,sysdata!L106*'general freight'!P46,sysdata!L106*'general freight'!P46*$I$35)</f>
        <v>0</v>
      </c>
      <c r="Q52" s="1559">
        <f>IF($I$37&gt;$I$39,sysdata!M106*'general freight'!Q46,sysdata!M106*'general freight'!Q46*$I$35)</f>
        <v>0</v>
      </c>
      <c r="R52" s="1235">
        <f>+$I$64/$R$64*I52+$K$64/$R$64*K52+$O$64/$R$64*O52</f>
        <v>28.462</v>
      </c>
    </row>
    <row r="53" spans="1:18" ht="22.8">
      <c r="A53" s="46"/>
      <c r="B53" s="29"/>
      <c r="C53" s="29"/>
      <c r="D53" s="29"/>
      <c r="E53" s="29"/>
      <c r="F53" s="29"/>
      <c r="G53" s="29"/>
      <c r="H53" s="35"/>
      <c r="I53" s="1236"/>
      <c r="J53" s="1231"/>
      <c r="K53" s="1231"/>
      <c r="L53" s="1231"/>
      <c r="M53" s="1231"/>
      <c r="N53" s="1231"/>
      <c r="O53" s="1231"/>
      <c r="P53" s="1231"/>
      <c r="Q53" s="1231"/>
      <c r="R53" s="1232"/>
    </row>
    <row r="54" spans="1:18" ht="22.8">
      <c r="A54" s="264" t="s">
        <v>207</v>
      </c>
      <c r="B54" s="29"/>
      <c r="C54" s="87" t="s">
        <v>50</v>
      </c>
      <c r="D54" s="29"/>
      <c r="E54" s="29"/>
      <c r="F54" s="29"/>
      <c r="G54" s="29"/>
      <c r="H54" s="35"/>
      <c r="I54" s="1237">
        <f>IF($I$39&gt;$I$37,sysdata!E106*'general freight'!I48,sysdata!E106*'general freight'!I48*$I$35)</f>
        <v>2.7040000000000002</v>
      </c>
      <c r="J54" s="1231"/>
      <c r="K54" s="1558">
        <f>IF($I$39&gt;$I$37,sysdata!E105*'general freight'!K48,sysdata!E105*'general freight'!K48*$I$35)</f>
        <v>2.6464500000000002</v>
      </c>
      <c r="L54" s="1559">
        <f>IF($I$39&gt;$I$37,sysdata!H106*'general freight'!L48,sysdata!H106*'general freight'!L48*$I$35)</f>
        <v>0</v>
      </c>
      <c r="M54" s="1559">
        <f>IF($I$39&gt;$I$37,sysdata!I106*'general freight'!M48,sysdata!I106*'general freight'!M48*$I$35)</f>
        <v>0</v>
      </c>
      <c r="N54" s="1231"/>
      <c r="O54" s="1558">
        <f>IF($I$39&gt;$I$37,sysdata!E102*'general freight'!O48,sysdata!E102*'general freight'!O48*$I$35)</f>
        <v>2.5942500000000002</v>
      </c>
      <c r="P54" s="1559">
        <f>IF($I$39&gt;$I$37,sysdata!L106*'general freight'!P48,sysdata!L106*'general freight'!P48*$I$35)</f>
        <v>0</v>
      </c>
      <c r="Q54" s="1559">
        <f>IF($I$39&gt;$I$37,sysdata!M106*'general freight'!Q48,sysdata!M106*'general freight'!Q48*$I$35)</f>
        <v>0</v>
      </c>
      <c r="R54" s="1235">
        <f>+$I$64/$R$64*I54+$K$64/$R$64*K54+$O$64/$R$64*O54</f>
        <v>2.6517133333333334</v>
      </c>
    </row>
    <row r="55" spans="1:18" ht="23.4" thickBot="1">
      <c r="A55" s="46"/>
      <c r="B55" s="29"/>
      <c r="C55" s="29"/>
      <c r="D55" s="29"/>
      <c r="E55" s="29"/>
      <c r="F55" s="29"/>
      <c r="G55" s="29"/>
      <c r="H55" s="35"/>
      <c r="I55" s="89"/>
      <c r="J55" s="29"/>
      <c r="K55" s="29"/>
      <c r="L55" s="29"/>
      <c r="M55" s="29"/>
      <c r="N55" s="29"/>
      <c r="O55" s="29"/>
      <c r="P55" s="29"/>
      <c r="Q55" s="29"/>
      <c r="R55" s="225"/>
    </row>
    <row r="56" spans="1:18" ht="23.4" thickTop="1">
      <c r="A56" s="1098" t="s">
        <v>200</v>
      </c>
      <c r="B56" s="1099"/>
      <c r="C56" s="1099"/>
      <c r="D56" s="1099"/>
      <c r="E56" s="1099"/>
      <c r="F56" s="1099"/>
      <c r="G56" s="1099"/>
      <c r="H56" s="1099"/>
      <c r="I56" s="1100"/>
      <c r="J56" s="1101"/>
      <c r="K56" s="1102"/>
      <c r="L56" s="1102"/>
      <c r="M56" s="1102"/>
      <c r="N56" s="1102"/>
      <c r="O56" s="1102"/>
      <c r="P56" s="1102"/>
      <c r="Q56" s="1102"/>
      <c r="R56" s="1103"/>
    </row>
    <row r="57" spans="1:18" ht="22.8">
      <c r="A57" s="46"/>
      <c r="B57" s="29"/>
      <c r="C57" s="29"/>
      <c r="D57" s="29"/>
      <c r="E57" s="29"/>
      <c r="F57" s="29"/>
      <c r="G57" s="29"/>
      <c r="H57" s="35"/>
      <c r="I57" s="89"/>
      <c r="J57" s="29"/>
      <c r="K57" s="29"/>
      <c r="L57" s="29"/>
      <c r="M57" s="29"/>
      <c r="N57" s="29"/>
      <c r="O57" s="29"/>
      <c r="P57" s="29"/>
      <c r="Q57" s="29"/>
      <c r="R57" s="225"/>
    </row>
    <row r="58" spans="1:18" ht="22.8">
      <c r="A58" s="263" t="s">
        <v>406</v>
      </c>
      <c r="B58" s="34" t="s">
        <v>208</v>
      </c>
      <c r="C58" s="29"/>
      <c r="D58" s="29"/>
      <c r="E58" s="29"/>
      <c r="F58" s="29"/>
      <c r="G58" s="29"/>
      <c r="H58" s="35"/>
      <c r="I58" s="89"/>
      <c r="J58" s="29"/>
      <c r="K58" s="29"/>
      <c r="L58" s="29"/>
      <c r="M58" s="29"/>
      <c r="N58" s="29"/>
      <c r="O58" s="29"/>
      <c r="P58" s="29"/>
      <c r="Q58" s="29"/>
      <c r="R58" s="225"/>
    </row>
    <row r="59" spans="1:18" ht="22.8">
      <c r="A59" s="46"/>
      <c r="B59" s="29"/>
      <c r="C59" s="29"/>
      <c r="D59" s="29"/>
      <c r="E59" s="29"/>
      <c r="F59" s="29"/>
      <c r="G59" s="29"/>
      <c r="H59" s="35"/>
      <c r="I59" s="89"/>
      <c r="J59" s="29"/>
      <c r="K59" s="29"/>
      <c r="L59" s="29"/>
      <c r="M59" s="29"/>
      <c r="N59" s="29"/>
      <c r="O59" s="29"/>
      <c r="P59" s="29"/>
      <c r="Q59" s="29"/>
      <c r="R59" s="225"/>
    </row>
    <row r="60" spans="1:18" ht="22.8">
      <c r="A60" s="265" t="s">
        <v>421</v>
      </c>
      <c r="B60" s="161" t="s">
        <v>115</v>
      </c>
      <c r="C60" s="29"/>
      <c r="D60" s="29"/>
      <c r="E60" s="29"/>
      <c r="F60" s="45"/>
      <c r="G60" s="45"/>
      <c r="H60" s="35"/>
      <c r="I60" s="35"/>
      <c r="J60" s="29"/>
      <c r="K60" s="38"/>
      <c r="L60" s="29"/>
      <c r="M60" s="29"/>
      <c r="N60" s="29"/>
      <c r="O60" s="29"/>
      <c r="P60" s="29"/>
      <c r="Q60" s="29"/>
      <c r="R60" s="225"/>
    </row>
    <row r="61" spans="1:18" ht="22.8">
      <c r="A61" s="266"/>
      <c r="B61" s="38"/>
      <c r="C61" s="29"/>
      <c r="D61" s="29"/>
      <c r="E61" s="29"/>
      <c r="F61" s="45"/>
      <c r="G61" s="45"/>
      <c r="H61" s="35"/>
      <c r="I61" s="35"/>
      <c r="J61" s="29"/>
      <c r="K61" s="38"/>
      <c r="L61" s="29"/>
      <c r="M61" s="29"/>
      <c r="N61" s="29"/>
      <c r="O61" s="29"/>
      <c r="P61" s="29"/>
      <c r="Q61" s="29"/>
      <c r="R61" s="225"/>
    </row>
    <row r="62" spans="1:18" ht="23.4" thickBot="1">
      <c r="A62" s="266" t="s">
        <v>422</v>
      </c>
      <c r="B62" s="38"/>
      <c r="C62" s="38" t="s">
        <v>366</v>
      </c>
      <c r="D62" s="29"/>
      <c r="E62" s="29"/>
      <c r="F62" s="45"/>
      <c r="G62" s="45"/>
      <c r="H62" s="35"/>
      <c r="I62" s="1221" t="str">
        <f>+I44</f>
        <v>Boxcar</v>
      </c>
      <c r="J62" s="152"/>
      <c r="K62" s="1557" t="str">
        <f>+K44</f>
        <v>Gondola (open top wagon)</v>
      </c>
      <c r="L62" s="1543"/>
      <c r="M62" s="1543"/>
      <c r="N62" s="29"/>
      <c r="O62" s="1557" t="str">
        <f>+O44</f>
        <v>Non-container flat or low-side wagon</v>
      </c>
      <c r="P62" s="1543"/>
      <c r="Q62" s="1543"/>
      <c r="R62" s="1238" t="s">
        <v>829</v>
      </c>
    </row>
    <row r="63" spans="1:18" ht="24" thickTop="1" thickBot="1">
      <c r="A63" s="46"/>
      <c r="B63" s="29"/>
      <c r="C63" s="29"/>
      <c r="D63" s="29"/>
      <c r="E63" s="29"/>
      <c r="F63" s="29"/>
      <c r="G63" s="29"/>
      <c r="H63" s="35"/>
      <c r="I63" s="33"/>
      <c r="J63" s="29"/>
      <c r="K63" s="29"/>
      <c r="L63" s="29"/>
      <c r="M63" s="29"/>
      <c r="N63" s="29"/>
      <c r="O63" s="29"/>
      <c r="P63" s="29"/>
      <c r="Q63" s="29"/>
      <c r="R63" s="225"/>
    </row>
    <row r="64" spans="1:18" ht="24" thickTop="1" thickBot="1">
      <c r="A64" s="266" t="s">
        <v>423</v>
      </c>
      <c r="B64" s="29"/>
      <c r="C64" s="38" t="s">
        <v>418</v>
      </c>
      <c r="D64" s="29"/>
      <c r="E64" s="29"/>
      <c r="F64" s="29"/>
      <c r="G64" s="35" t="s">
        <v>419</v>
      </c>
      <c r="H64" s="35"/>
      <c r="I64" s="1111">
        <v>10</v>
      </c>
      <c r="J64" s="46"/>
      <c r="K64" s="1553">
        <v>12</v>
      </c>
      <c r="L64" s="1543"/>
      <c r="M64" s="1543"/>
      <c r="N64" s="29"/>
      <c r="O64" s="1553">
        <v>8</v>
      </c>
      <c r="P64" s="1543"/>
      <c r="Q64" s="1543"/>
      <c r="R64" s="1235">
        <f>+I64+K64+O64</f>
        <v>30</v>
      </c>
    </row>
    <row r="65" spans="1:18" ht="23.4" thickTop="1">
      <c r="A65" s="46"/>
      <c r="B65" s="29"/>
      <c r="C65" s="29"/>
      <c r="D65" s="29"/>
      <c r="E65" s="29"/>
      <c r="F65" s="29"/>
      <c r="G65" s="29"/>
      <c r="H65" s="35"/>
      <c r="I65" s="33"/>
      <c r="J65" s="29"/>
      <c r="K65" s="29"/>
      <c r="L65" s="29"/>
      <c r="M65" s="29"/>
      <c r="N65" s="29"/>
      <c r="O65" s="29"/>
      <c r="P65" s="29"/>
      <c r="Q65" s="29"/>
      <c r="R65" s="1232"/>
    </row>
    <row r="66" spans="1:18" ht="22.8">
      <c r="A66" s="265" t="s">
        <v>424</v>
      </c>
      <c r="B66" s="38" t="s">
        <v>47</v>
      </c>
      <c r="C66" s="29"/>
      <c r="D66" s="29"/>
      <c r="E66" s="29"/>
      <c r="F66" s="29"/>
      <c r="G66" s="29"/>
      <c r="H66" s="35"/>
      <c r="I66" s="1233">
        <f>+I52+sysdata!D106</f>
        <v>54.239999999999995</v>
      </c>
      <c r="J66" s="1239"/>
      <c r="K66" s="1558">
        <f>+K52+sysdata!D105</f>
        <v>51.875</v>
      </c>
      <c r="L66" s="1559"/>
      <c r="M66" s="1559"/>
      <c r="N66" s="1231"/>
      <c r="O66" s="1558">
        <f>+O52+sysdata!D102</f>
        <v>52.454999999999998</v>
      </c>
      <c r="P66" s="1560"/>
      <c r="Q66" s="1560"/>
      <c r="R66" s="1235">
        <f>+I64/R64*I66+K64/R64*K66+O64/R64*O66</f>
        <v>52.817999999999998</v>
      </c>
    </row>
    <row r="67" spans="1:18" ht="22.8">
      <c r="A67" s="46"/>
      <c r="B67" s="29"/>
      <c r="C67" s="29"/>
      <c r="D67" s="29"/>
      <c r="E67" s="29"/>
      <c r="F67" s="29"/>
      <c r="G67" s="29"/>
      <c r="H67" s="35"/>
      <c r="I67" s="1236"/>
      <c r="J67" s="1231"/>
      <c r="K67" s="1231"/>
      <c r="L67" s="1231"/>
      <c r="M67" s="1231"/>
      <c r="N67" s="1231"/>
      <c r="O67" s="1231"/>
      <c r="P67" s="1231"/>
      <c r="Q67" s="1231"/>
      <c r="R67" s="1232"/>
    </row>
    <row r="68" spans="1:18" ht="22.8">
      <c r="A68" s="264" t="s">
        <v>426</v>
      </c>
      <c r="B68" s="87" t="s">
        <v>48</v>
      </c>
      <c r="C68" s="29"/>
      <c r="D68" s="29"/>
      <c r="E68" s="29"/>
      <c r="F68" s="29"/>
      <c r="G68" s="29"/>
      <c r="H68" s="35"/>
      <c r="I68" s="1233">
        <f>+I54+sysdata!D106</f>
        <v>29.904</v>
      </c>
      <c r="J68" s="1231"/>
      <c r="K68" s="1558">
        <f>+K54+sysdata!D105</f>
        <v>25.11645</v>
      </c>
      <c r="L68" s="1559"/>
      <c r="M68" s="1559"/>
      <c r="N68" s="1231"/>
      <c r="O68" s="1558">
        <f>+O54+sysdata!D102</f>
        <v>26.224249999999998</v>
      </c>
      <c r="P68" s="1560"/>
      <c r="Q68" s="1560"/>
      <c r="R68" s="1235">
        <f>+I64/R64*I68+K64/R64*K68+O64/R64*O68</f>
        <v>27.007713333333335</v>
      </c>
    </row>
    <row r="69" spans="1:18" ht="22.8">
      <c r="A69" s="46"/>
      <c r="B69" s="29"/>
      <c r="C69" s="29"/>
      <c r="D69" s="29"/>
      <c r="E69" s="29"/>
      <c r="F69" s="29"/>
      <c r="G69" s="29"/>
      <c r="H69" s="35"/>
      <c r="I69" s="89"/>
      <c r="J69" s="29"/>
      <c r="K69" s="29"/>
      <c r="L69" s="29"/>
      <c r="M69" s="29"/>
      <c r="N69" s="29"/>
      <c r="O69" s="29"/>
      <c r="P69" s="29"/>
      <c r="Q69" s="29"/>
      <c r="R69" s="225"/>
    </row>
    <row r="70" spans="1:18" ht="22.8">
      <c r="A70" s="265" t="s">
        <v>429</v>
      </c>
      <c r="B70" s="38" t="s">
        <v>41</v>
      </c>
      <c r="C70" s="29"/>
      <c r="D70" s="29"/>
      <c r="E70" s="29"/>
      <c r="F70" s="29"/>
      <c r="G70" s="29"/>
      <c r="H70" s="35"/>
      <c r="I70" s="35"/>
      <c r="J70" s="29"/>
      <c r="K70" s="29"/>
      <c r="L70" s="29"/>
      <c r="M70" s="29"/>
      <c r="N70" s="29"/>
      <c r="O70" s="29"/>
      <c r="P70" s="29"/>
      <c r="Q70" s="29"/>
      <c r="R70" s="225"/>
    </row>
    <row r="71" spans="1:18" ht="23.4" thickBot="1">
      <c r="A71" s="46"/>
      <c r="B71" s="29"/>
      <c r="C71" s="29"/>
      <c r="D71" s="29"/>
      <c r="E71" s="29"/>
      <c r="F71" s="29"/>
      <c r="G71" s="29"/>
      <c r="H71" s="35"/>
      <c r="I71" s="35"/>
      <c r="J71" s="29"/>
      <c r="K71" s="29"/>
      <c r="L71" s="29"/>
      <c r="M71" s="29"/>
      <c r="N71" s="29"/>
      <c r="O71" s="29"/>
      <c r="P71" s="29"/>
      <c r="Q71" s="29"/>
      <c r="R71" s="225"/>
    </row>
    <row r="72" spans="1:18" ht="24" thickTop="1" thickBot="1">
      <c r="A72" s="265" t="s">
        <v>431</v>
      </c>
      <c r="B72" s="29"/>
      <c r="C72" s="38" t="s">
        <v>46</v>
      </c>
      <c r="D72" s="29"/>
      <c r="E72" s="29"/>
      <c r="F72" s="29"/>
      <c r="G72" s="29"/>
      <c r="H72" s="35"/>
      <c r="I72" s="1110" t="s">
        <v>832</v>
      </c>
      <c r="J72" s="29"/>
      <c r="K72" s="29"/>
      <c r="L72" s="29"/>
      <c r="M72" s="29"/>
      <c r="N72" s="29"/>
      <c r="O72" s="29"/>
      <c r="P72" s="29"/>
      <c r="Q72" s="29"/>
      <c r="R72" s="225"/>
    </row>
    <row r="73" spans="1:18" ht="24" thickTop="1" thickBot="1">
      <c r="A73" s="46"/>
      <c r="B73" s="29"/>
      <c r="C73" s="29"/>
      <c r="D73" s="29"/>
      <c r="E73" s="29"/>
      <c r="F73" s="29"/>
      <c r="G73" s="29"/>
      <c r="H73" s="35"/>
      <c r="I73" s="33"/>
      <c r="J73" s="29"/>
      <c r="K73" s="29"/>
      <c r="L73" s="29"/>
      <c r="M73" s="29"/>
      <c r="N73" s="29"/>
      <c r="O73" s="29"/>
      <c r="P73" s="29"/>
      <c r="Q73" s="29"/>
      <c r="R73" s="225"/>
    </row>
    <row r="74" spans="1:18" ht="24" thickTop="1" thickBot="1">
      <c r="A74" s="767" t="s">
        <v>432</v>
      </c>
      <c r="B74" s="29"/>
      <c r="C74" s="29"/>
      <c r="D74" s="29"/>
      <c r="E74" s="29"/>
      <c r="F74" s="29"/>
      <c r="G74" s="29"/>
      <c r="H74" s="35"/>
      <c r="I74" s="1245" t="s">
        <v>894</v>
      </c>
      <c r="J74" s="29"/>
      <c r="K74" s="29"/>
      <c r="L74" s="29"/>
      <c r="M74" s="29"/>
      <c r="N74" s="29"/>
      <c r="O74" s="29"/>
      <c r="P74" s="29"/>
      <c r="Q74" s="29"/>
      <c r="R74" s="225"/>
    </row>
    <row r="75" spans="1:18" ht="24" thickTop="1" thickBot="1">
      <c r="A75" s="46"/>
      <c r="B75" s="29"/>
      <c r="C75" s="29"/>
      <c r="D75" s="29"/>
      <c r="E75" s="29"/>
      <c r="F75" s="29"/>
      <c r="G75" s="29"/>
      <c r="H75" s="35"/>
      <c r="I75" s="33"/>
      <c r="J75" s="29"/>
      <c r="K75" s="29"/>
      <c r="L75" s="29"/>
      <c r="M75" s="29"/>
      <c r="N75" s="29"/>
      <c r="O75" s="29"/>
      <c r="P75" s="29"/>
      <c r="Q75" s="29"/>
      <c r="R75" s="225"/>
    </row>
    <row r="76" spans="1:18" ht="24" thickTop="1" thickBot="1">
      <c r="A76" s="265" t="s">
        <v>901</v>
      </c>
      <c r="B76" s="29"/>
      <c r="C76" s="38" t="s">
        <v>418</v>
      </c>
      <c r="D76" s="29"/>
      <c r="E76" s="29"/>
      <c r="F76" s="29"/>
      <c r="G76" s="29"/>
      <c r="H76" s="35"/>
      <c r="I76" s="1245">
        <v>1</v>
      </c>
      <c r="J76" s="29"/>
      <c r="K76" s="29"/>
      <c r="L76" s="29"/>
      <c r="M76" s="29"/>
      <c r="N76" s="29"/>
      <c r="O76" s="29"/>
      <c r="P76" s="29"/>
      <c r="Q76" s="29"/>
      <c r="R76" s="225"/>
    </row>
    <row r="77" spans="1:18" ht="24" thickTop="1" thickBot="1">
      <c r="A77" s="46"/>
      <c r="B77" s="29"/>
      <c r="C77" s="29"/>
      <c r="D77" s="29"/>
      <c r="E77" s="29"/>
      <c r="F77" s="29"/>
      <c r="G77" s="29"/>
      <c r="H77" s="35"/>
      <c r="I77" s="33"/>
      <c r="J77" s="29"/>
      <c r="K77" s="29"/>
      <c r="L77" s="29"/>
      <c r="M77" s="29"/>
      <c r="N77" s="29"/>
      <c r="O77" s="29"/>
      <c r="P77" s="29"/>
      <c r="Q77" s="29"/>
      <c r="R77" s="225"/>
    </row>
    <row r="78" spans="1:18" ht="23.4" thickTop="1">
      <c r="A78" s="265" t="s">
        <v>433</v>
      </c>
      <c r="B78" s="38" t="s">
        <v>425</v>
      </c>
      <c r="C78" s="29"/>
      <c r="D78" s="29"/>
      <c r="E78" s="29"/>
      <c r="F78" s="29"/>
      <c r="G78" s="29"/>
      <c r="H78" s="35"/>
      <c r="I78" s="1111">
        <f>sysdata!E67</f>
        <v>115</v>
      </c>
      <c r="J78" s="29"/>
      <c r="K78" s="29"/>
      <c r="L78" s="29"/>
      <c r="M78" s="29"/>
      <c r="N78" s="29"/>
      <c r="O78" s="29"/>
      <c r="P78" s="29"/>
      <c r="Q78" s="29"/>
      <c r="R78" s="225"/>
    </row>
    <row r="79" spans="1:18" ht="23.4" thickBot="1">
      <c r="A79" s="39"/>
      <c r="B79" s="35"/>
      <c r="C79" s="29"/>
      <c r="D79" s="29"/>
      <c r="E79" s="29"/>
      <c r="F79" s="29"/>
      <c r="G79" s="29"/>
      <c r="H79" s="35"/>
      <c r="I79" s="36"/>
      <c r="J79" s="29"/>
      <c r="K79" s="29"/>
      <c r="L79" s="29"/>
      <c r="M79" s="29"/>
      <c r="N79" s="29"/>
      <c r="O79" s="29"/>
      <c r="P79" s="29"/>
      <c r="Q79" s="29"/>
      <c r="R79" s="225"/>
    </row>
    <row r="80" spans="1:18" ht="24" thickTop="1" thickBot="1">
      <c r="A80" s="265" t="s">
        <v>435</v>
      </c>
      <c r="B80" s="38" t="s">
        <v>427</v>
      </c>
      <c r="C80" s="29"/>
      <c r="D80" s="29"/>
      <c r="E80" s="29"/>
      <c r="F80" s="29"/>
      <c r="G80" s="29"/>
      <c r="H80" s="35"/>
      <c r="I80" s="1110" t="s">
        <v>414</v>
      </c>
      <c r="J80" s="46"/>
      <c r="K80" s="29"/>
      <c r="L80" s="29"/>
      <c r="M80" s="29"/>
      <c r="N80" s="29"/>
      <c r="O80" s="29"/>
      <c r="P80" s="29"/>
      <c r="Q80" s="29"/>
      <c r="R80" s="225"/>
    </row>
    <row r="81" spans="1:18" ht="23.4" thickTop="1">
      <c r="A81" s="46"/>
      <c r="B81" s="29"/>
      <c r="C81" s="29"/>
      <c r="D81" s="29"/>
      <c r="E81" s="29"/>
      <c r="F81" s="29"/>
      <c r="G81" s="29"/>
      <c r="H81" s="35"/>
      <c r="I81" s="33"/>
      <c r="J81" s="29"/>
      <c r="K81" s="29"/>
      <c r="L81" s="29"/>
      <c r="M81" s="29"/>
      <c r="N81" s="29"/>
      <c r="O81" s="29"/>
      <c r="P81" s="29"/>
      <c r="Q81" s="29"/>
      <c r="R81" s="225"/>
    </row>
    <row r="82" spans="1:18" ht="22.8">
      <c r="A82" s="265" t="s">
        <v>436</v>
      </c>
      <c r="B82" s="29"/>
      <c r="C82" s="38" t="s">
        <v>428</v>
      </c>
      <c r="D82" s="29"/>
      <c r="E82" s="29"/>
      <c r="F82" s="29"/>
      <c r="G82" s="29"/>
      <c r="H82" s="35"/>
      <c r="I82" s="1007">
        <f>IF(I80="YES",40,0)</f>
        <v>0</v>
      </c>
      <c r="J82" s="29"/>
      <c r="K82" s="29"/>
      <c r="L82" s="29"/>
      <c r="M82" s="29"/>
      <c r="N82" s="29"/>
      <c r="O82" s="29"/>
      <c r="P82" s="29"/>
      <c r="Q82" s="29"/>
      <c r="R82" s="225"/>
    </row>
    <row r="83" spans="1:18" ht="22.8">
      <c r="A83" s="46"/>
      <c r="B83" s="29"/>
      <c r="C83" s="29"/>
      <c r="D83" s="29"/>
      <c r="E83" s="29"/>
      <c r="F83" s="29"/>
      <c r="G83" s="29"/>
      <c r="H83" s="35"/>
      <c r="I83" s="892"/>
      <c r="J83" s="29"/>
      <c r="K83" s="29"/>
      <c r="L83" s="29"/>
      <c r="M83" s="29"/>
      <c r="N83" s="29"/>
      <c r="O83" s="29"/>
      <c r="P83" s="29"/>
      <c r="Q83" s="29"/>
      <c r="R83" s="225"/>
    </row>
    <row r="84" spans="1:18" ht="22.8">
      <c r="A84" s="264" t="s">
        <v>445</v>
      </c>
      <c r="B84" s="87" t="s">
        <v>53</v>
      </c>
      <c r="C84" s="29"/>
      <c r="D84" s="29"/>
      <c r="E84" s="29"/>
      <c r="F84" s="29"/>
      <c r="G84" s="29"/>
      <c r="H84" s="35"/>
      <c r="I84" s="1244">
        <f>+ROUNDUP((I64*I66+K64*K66+O64*O66)+I82,0)</f>
        <v>1585</v>
      </c>
      <c r="J84" s="29"/>
      <c r="K84" s="29"/>
      <c r="L84" s="29"/>
      <c r="M84" s="29"/>
      <c r="N84" s="29"/>
      <c r="O84" s="29"/>
      <c r="P84" s="29"/>
      <c r="Q84" s="29"/>
      <c r="R84" s="225"/>
    </row>
    <row r="85" spans="1:18" ht="22.8">
      <c r="A85" s="46"/>
      <c r="B85" s="29"/>
      <c r="C85" s="29"/>
      <c r="D85" s="29"/>
      <c r="E85" s="29"/>
      <c r="F85" s="29"/>
      <c r="G85" s="29"/>
      <c r="H85" s="35"/>
      <c r="I85" s="929"/>
      <c r="J85" s="29"/>
      <c r="K85" s="29"/>
      <c r="L85" s="29"/>
      <c r="M85" s="29"/>
      <c r="N85" s="29"/>
      <c r="O85" s="29"/>
      <c r="P85" s="29"/>
      <c r="Q85" s="29"/>
      <c r="R85" s="225"/>
    </row>
    <row r="86" spans="1:18" ht="22.8">
      <c r="A86" s="264" t="s">
        <v>446</v>
      </c>
      <c r="B86" s="87" t="s">
        <v>54</v>
      </c>
      <c r="C86" s="29"/>
      <c r="D86" s="29"/>
      <c r="E86" s="29"/>
      <c r="F86" s="29"/>
      <c r="G86" s="29"/>
      <c r="H86" s="35"/>
      <c r="I86" s="1244">
        <f>+ROUNDUP((I64*I68+K64*K68+O64*O68)+I82,0)</f>
        <v>811</v>
      </c>
      <c r="J86" s="29"/>
      <c r="K86" s="29"/>
      <c r="L86" s="29"/>
      <c r="M86" s="29"/>
      <c r="N86" s="29"/>
      <c r="O86" s="29"/>
      <c r="P86" s="29"/>
      <c r="Q86" s="29"/>
      <c r="R86" s="225"/>
    </row>
    <row r="87" spans="1:18" ht="22.8">
      <c r="A87" s="46"/>
      <c r="B87" s="29"/>
      <c r="C87" s="29"/>
      <c r="D87" s="29"/>
      <c r="E87" s="29"/>
      <c r="F87" s="29"/>
      <c r="G87" s="29"/>
      <c r="H87" s="35"/>
      <c r="I87" s="929"/>
      <c r="J87" s="29"/>
      <c r="K87" s="29"/>
      <c r="L87" s="29"/>
      <c r="M87" s="29"/>
      <c r="N87" s="29"/>
      <c r="O87" s="29"/>
      <c r="P87" s="29"/>
      <c r="Q87" s="29"/>
      <c r="R87" s="225"/>
    </row>
    <row r="88" spans="1:18" ht="22.8">
      <c r="A88" s="264" t="s">
        <v>447</v>
      </c>
      <c r="B88" s="87" t="s">
        <v>55</v>
      </c>
      <c r="C88" s="29"/>
      <c r="D88" s="29"/>
      <c r="E88" s="29"/>
      <c r="F88" s="29"/>
      <c r="G88" s="29"/>
      <c r="H88" s="35"/>
      <c r="I88" s="929">
        <f>+I84+(I76*I78)</f>
        <v>1700</v>
      </c>
      <c r="J88" s="29"/>
      <c r="K88" s="29"/>
      <c r="L88" s="29"/>
      <c r="M88" s="29"/>
      <c r="N88" s="29"/>
      <c r="O88" s="29"/>
      <c r="P88" s="29"/>
      <c r="Q88" s="29"/>
      <c r="R88" s="225"/>
    </row>
    <row r="89" spans="1:18" ht="22.8">
      <c r="A89" s="264"/>
      <c r="B89" s="87"/>
      <c r="C89" s="29"/>
      <c r="D89" s="29"/>
      <c r="E89" s="29"/>
      <c r="F89" s="29"/>
      <c r="G89" s="29"/>
      <c r="H89" s="35"/>
      <c r="I89" s="929"/>
      <c r="J89" s="29"/>
      <c r="K89" s="29"/>
      <c r="L89" s="29"/>
      <c r="M89" s="29"/>
      <c r="N89" s="29"/>
      <c r="O89" s="29"/>
      <c r="P89" s="29"/>
      <c r="Q89" s="29"/>
      <c r="R89" s="225"/>
    </row>
    <row r="90" spans="1:18" ht="22.8">
      <c r="A90" s="264" t="s">
        <v>448</v>
      </c>
      <c r="B90" s="87" t="s">
        <v>56</v>
      </c>
      <c r="C90" s="29"/>
      <c r="D90" s="29"/>
      <c r="E90" s="29"/>
      <c r="F90" s="29"/>
      <c r="G90" s="29"/>
      <c r="H90" s="35"/>
      <c r="I90" s="929">
        <f>+I86+(I76*I78)</f>
        <v>926</v>
      </c>
      <c r="J90" s="29"/>
      <c r="K90" s="29"/>
      <c r="L90" s="29"/>
      <c r="M90" s="29"/>
      <c r="N90" s="29"/>
      <c r="O90" s="29"/>
      <c r="P90" s="29"/>
      <c r="Q90" s="29"/>
      <c r="R90" s="225"/>
    </row>
    <row r="91" spans="1:18" ht="22.8">
      <c r="A91" s="264"/>
      <c r="B91" s="87"/>
      <c r="C91" s="29"/>
      <c r="D91" s="29"/>
      <c r="E91" s="29"/>
      <c r="F91" s="29"/>
      <c r="G91" s="29"/>
      <c r="H91" s="35"/>
      <c r="I91" s="929"/>
      <c r="J91" s="29"/>
      <c r="K91" s="29"/>
      <c r="L91" s="29"/>
      <c r="M91" s="29"/>
      <c r="N91" s="29"/>
      <c r="O91" s="29"/>
      <c r="P91" s="29"/>
      <c r="Q91" s="29"/>
      <c r="R91" s="225"/>
    </row>
    <row r="92" spans="1:18" ht="22.8">
      <c r="A92" s="265" t="s">
        <v>449</v>
      </c>
      <c r="B92" s="161" t="s">
        <v>430</v>
      </c>
      <c r="C92" s="29"/>
      <c r="D92" s="29"/>
      <c r="E92" s="29"/>
      <c r="F92" s="29"/>
      <c r="G92" s="29"/>
      <c r="H92" s="35"/>
      <c r="I92" s="897"/>
      <c r="J92" s="35"/>
      <c r="K92" s="29"/>
      <c r="L92" s="29"/>
      <c r="M92" s="29"/>
      <c r="N92" s="29"/>
      <c r="O92" s="29"/>
      <c r="P92" s="29"/>
      <c r="Q92" s="29"/>
      <c r="R92" s="225"/>
    </row>
    <row r="93" spans="1:18" ht="22.8">
      <c r="A93" s="46"/>
      <c r="B93" s="29"/>
      <c r="C93" s="29"/>
      <c r="D93" s="29"/>
      <c r="E93" s="29"/>
      <c r="F93" s="29"/>
      <c r="G93" s="29"/>
      <c r="H93" s="35"/>
      <c r="I93" s="892"/>
      <c r="J93" s="29"/>
      <c r="K93" s="29"/>
      <c r="L93" s="29"/>
      <c r="M93" s="29"/>
      <c r="N93" s="29"/>
      <c r="O93" s="29"/>
      <c r="P93" s="29"/>
      <c r="Q93" s="29"/>
      <c r="R93" s="225"/>
    </row>
    <row r="94" spans="1:18" ht="22.8">
      <c r="A94" s="265" t="s">
        <v>233</v>
      </c>
      <c r="B94" s="29"/>
      <c r="C94" s="38" t="s">
        <v>117</v>
      </c>
      <c r="D94" s="29"/>
      <c r="E94" s="29"/>
      <c r="F94" s="29"/>
      <c r="G94" s="29"/>
      <c r="H94" s="35"/>
      <c r="I94" s="892">
        <f>+I64*I52+K64*K52+O64*O52</f>
        <v>853.86</v>
      </c>
      <c r="J94" s="29"/>
      <c r="K94" s="29"/>
      <c r="L94" s="29"/>
      <c r="M94" s="29"/>
      <c r="N94" s="29"/>
      <c r="O94" s="29"/>
      <c r="P94" s="29"/>
      <c r="Q94" s="29"/>
      <c r="R94" s="225"/>
    </row>
    <row r="95" spans="1:18" ht="22.8">
      <c r="A95" s="46"/>
      <c r="B95" s="29"/>
      <c r="C95" s="29"/>
      <c r="D95" s="29"/>
      <c r="E95" s="29"/>
      <c r="F95" s="29"/>
      <c r="G95" s="29"/>
      <c r="H95" s="35"/>
      <c r="I95" s="892"/>
      <c r="J95" s="29"/>
      <c r="K95" s="29"/>
      <c r="L95" s="29"/>
      <c r="M95" s="29"/>
      <c r="N95" s="29"/>
      <c r="O95" s="29"/>
      <c r="P95" s="29"/>
      <c r="Q95" s="29"/>
      <c r="R95" s="225"/>
    </row>
    <row r="96" spans="1:18" ht="22.8">
      <c r="A96" s="265" t="s">
        <v>234</v>
      </c>
      <c r="B96" s="29"/>
      <c r="C96" s="38" t="s">
        <v>118</v>
      </c>
      <c r="D96" s="29"/>
      <c r="E96" s="29"/>
      <c r="F96" s="29"/>
      <c r="G96" s="29"/>
      <c r="H96" s="35"/>
      <c r="I96" s="892">
        <f>+I64*I54+K64*K54+O64*O54</f>
        <v>79.551400000000015</v>
      </c>
      <c r="J96" s="29"/>
      <c r="K96" s="29"/>
      <c r="L96" s="29"/>
      <c r="M96" s="29"/>
      <c r="N96" s="29"/>
      <c r="O96" s="29"/>
      <c r="P96" s="29"/>
      <c r="Q96" s="29"/>
      <c r="R96" s="225"/>
    </row>
    <row r="97" spans="1:18" ht="22.8">
      <c r="A97" s="46"/>
      <c r="B97" s="29"/>
      <c r="C97" s="29"/>
      <c r="D97" s="29"/>
      <c r="E97" s="29"/>
      <c r="F97" s="29"/>
      <c r="G97" s="29"/>
      <c r="H97" s="35"/>
      <c r="I97" s="892"/>
      <c r="J97" s="29"/>
      <c r="K97" s="29" t="s">
        <v>7</v>
      </c>
      <c r="L97" s="29"/>
      <c r="M97" s="29" t="s">
        <v>768</v>
      </c>
      <c r="N97" s="29"/>
      <c r="O97" s="29"/>
      <c r="P97" s="29"/>
      <c r="Q97" s="29"/>
      <c r="R97" s="225"/>
    </row>
    <row r="98" spans="1:18" ht="22.8">
      <c r="A98" s="265" t="s">
        <v>235</v>
      </c>
      <c r="B98" s="29"/>
      <c r="C98" s="87" t="s">
        <v>122</v>
      </c>
      <c r="D98" s="29"/>
      <c r="E98" s="29"/>
      <c r="F98" s="29"/>
      <c r="G98" s="29"/>
      <c r="H98" s="35"/>
      <c r="I98" s="892">
        <f>+(0.5*I94)+(0.5*I96)</f>
        <v>466.70570000000004</v>
      </c>
      <c r="J98" s="29"/>
      <c r="K98" s="29"/>
      <c r="L98" s="29"/>
      <c r="M98" s="29" t="s">
        <v>769</v>
      </c>
      <c r="N98" s="29"/>
      <c r="O98" s="29"/>
      <c r="P98" s="29"/>
      <c r="Q98" s="29"/>
      <c r="R98" s="225"/>
    </row>
    <row r="99" spans="1:18" ht="23.4" thickBot="1">
      <c r="A99" s="46"/>
      <c r="B99" s="29"/>
      <c r="C99" s="29"/>
      <c r="D99" s="29"/>
      <c r="E99" s="29"/>
      <c r="F99" s="29"/>
      <c r="G99" s="29"/>
      <c r="H99" s="35"/>
      <c r="I99" s="892"/>
      <c r="J99" s="29"/>
      <c r="K99" s="29"/>
      <c r="L99" s="29"/>
      <c r="M99" s="29"/>
      <c r="N99" s="29"/>
      <c r="O99" s="29"/>
      <c r="P99" s="29"/>
      <c r="Q99" s="29"/>
      <c r="R99" s="225"/>
    </row>
    <row r="100" spans="1:18" ht="24" thickTop="1" thickBot="1">
      <c r="A100" s="265" t="s">
        <v>450</v>
      </c>
      <c r="B100" s="38" t="s">
        <v>434</v>
      </c>
      <c r="C100" s="29"/>
      <c r="D100" s="29"/>
      <c r="E100" s="29"/>
      <c r="F100" s="29"/>
      <c r="G100" s="29"/>
      <c r="H100" s="35"/>
      <c r="I100" s="892">
        <f>IF(I37&gt;I39,(I37/I94)*2,(I39/IE96)*2)</f>
        <v>1639.6130513198884</v>
      </c>
      <c r="J100" s="29"/>
      <c r="K100" s="29">
        <f>IF(I100&gt;INT(I100)+0.2,ROUNDUP(I100,0),ROUNDDOWN(I100,0))</f>
        <v>1640</v>
      </c>
      <c r="L100" s="29"/>
      <c r="M100" s="961">
        <f>+K100/K104</f>
        <v>0.18846242243162492</v>
      </c>
      <c r="N100" s="29"/>
      <c r="O100" s="29"/>
      <c r="P100" s="29"/>
      <c r="Q100" s="29"/>
      <c r="R100" s="225"/>
    </row>
    <row r="101" spans="1:18" ht="23.4" thickTop="1">
      <c r="A101" s="265"/>
      <c r="B101" s="38"/>
      <c r="C101" s="29"/>
      <c r="D101" s="29"/>
      <c r="E101" s="29"/>
      <c r="F101" s="29"/>
      <c r="G101" s="29"/>
      <c r="H101" s="35"/>
      <c r="I101" s="892"/>
      <c r="J101" s="29"/>
      <c r="K101" s="29"/>
      <c r="L101" s="29"/>
      <c r="M101" s="29"/>
      <c r="N101" s="29"/>
      <c r="O101" s="29"/>
      <c r="P101" s="29"/>
      <c r="Q101" s="29"/>
      <c r="R101" s="225"/>
    </row>
    <row r="102" spans="1:18" ht="22.8">
      <c r="A102" s="265" t="s">
        <v>451</v>
      </c>
      <c r="B102" s="38" t="s">
        <v>87</v>
      </c>
      <c r="C102" s="29"/>
      <c r="D102" s="29"/>
      <c r="E102" s="29"/>
      <c r="F102" s="29"/>
      <c r="G102" s="29"/>
      <c r="H102" s="35"/>
      <c r="I102" s="892">
        <f>containers!I114+passengers!I105+sysdata!D35</f>
        <v>7062.3363095238092</v>
      </c>
      <c r="J102" s="29"/>
      <c r="K102" s="29">
        <f>IF(I102&gt;INT(I102)+0.2,ROUNDUP(I102,0),ROUNDDOWN(I102,0))</f>
        <v>7063</v>
      </c>
      <c r="L102" s="29"/>
      <c r="M102" s="29"/>
      <c r="N102" s="29"/>
      <c r="O102" s="29"/>
      <c r="P102" s="29"/>
      <c r="Q102" s="29"/>
      <c r="R102" s="225"/>
    </row>
    <row r="103" spans="1:18" ht="22.8">
      <c r="A103" s="265"/>
      <c r="B103" s="38"/>
      <c r="C103" s="29"/>
      <c r="D103" s="29"/>
      <c r="E103" s="29"/>
      <c r="F103" s="29"/>
      <c r="G103" s="29"/>
      <c r="H103" s="35"/>
      <c r="I103" s="892"/>
      <c r="J103" s="29"/>
      <c r="K103" s="29"/>
      <c r="L103" s="29"/>
      <c r="M103" s="29"/>
      <c r="N103" s="29"/>
      <c r="O103" s="29"/>
      <c r="P103" s="29"/>
      <c r="Q103" s="29"/>
      <c r="R103" s="225"/>
    </row>
    <row r="104" spans="1:18" ht="23.4" thickBot="1">
      <c r="A104" s="265" t="s">
        <v>452</v>
      </c>
      <c r="B104" s="38" t="s">
        <v>88</v>
      </c>
      <c r="C104" s="29"/>
      <c r="D104" s="29"/>
      <c r="E104" s="29"/>
      <c r="F104" s="29"/>
      <c r="G104" s="29"/>
      <c r="H104" s="35"/>
      <c r="I104" s="892">
        <f>+I100+I102</f>
        <v>8701.9493608436969</v>
      </c>
      <c r="J104" s="29"/>
      <c r="K104" s="29">
        <f>IF(I104&gt;INT(I104)+0.2,ROUNDUP(I104,0),ROUNDDOWN(I104,0))</f>
        <v>8702</v>
      </c>
      <c r="L104" s="29"/>
      <c r="M104" s="29"/>
      <c r="N104" s="29"/>
      <c r="O104" s="29"/>
      <c r="P104" s="29"/>
      <c r="Q104" s="29"/>
      <c r="R104" s="225"/>
    </row>
    <row r="105" spans="1:18" ht="23.4" thickTop="1">
      <c r="A105" s="1098" t="s">
        <v>200</v>
      </c>
      <c r="B105" s="1099"/>
      <c r="C105" s="1099"/>
      <c r="D105" s="1099"/>
      <c r="E105" s="1099"/>
      <c r="F105" s="1099"/>
      <c r="G105" s="1099"/>
      <c r="H105" s="1099"/>
      <c r="I105" s="1100"/>
      <c r="J105" s="1101"/>
      <c r="K105" s="1102"/>
      <c r="L105" s="1102"/>
      <c r="M105" s="1102"/>
      <c r="N105" s="1102"/>
      <c r="O105" s="1102"/>
      <c r="P105" s="1102"/>
      <c r="Q105" s="1102"/>
      <c r="R105" s="1103"/>
    </row>
    <row r="106" spans="1:18" ht="22.8">
      <c r="A106" s="265"/>
      <c r="B106" s="38"/>
      <c r="C106" s="29"/>
      <c r="D106" s="29"/>
      <c r="E106" s="29"/>
      <c r="F106" s="29"/>
      <c r="G106" s="29"/>
      <c r="H106" s="35"/>
      <c r="I106" s="97"/>
      <c r="J106" s="29"/>
      <c r="K106" s="29"/>
      <c r="L106" s="29"/>
      <c r="M106" s="29"/>
      <c r="N106" s="29"/>
      <c r="O106" s="29"/>
      <c r="P106" s="29"/>
      <c r="Q106" s="29"/>
      <c r="R106" s="225"/>
    </row>
    <row r="107" spans="1:18" ht="22.8">
      <c r="A107" s="263" t="s">
        <v>406</v>
      </c>
      <c r="B107" s="34" t="s">
        <v>157</v>
      </c>
      <c r="C107" s="29"/>
      <c r="D107" s="29"/>
      <c r="E107" s="29"/>
      <c r="F107" s="29"/>
      <c r="G107" s="29"/>
      <c r="H107" s="35"/>
      <c r="I107" s="97"/>
      <c r="J107" s="29"/>
      <c r="K107" s="29"/>
      <c r="L107" s="29"/>
      <c r="M107" s="29"/>
      <c r="N107" s="29"/>
      <c r="O107" s="29"/>
      <c r="P107" s="29"/>
      <c r="Q107" s="29"/>
      <c r="R107" s="225"/>
    </row>
    <row r="108" spans="1:18" ht="22.8">
      <c r="A108" s="266"/>
      <c r="B108" s="38"/>
      <c r="C108" s="29"/>
      <c r="D108" s="29"/>
      <c r="E108" s="29"/>
      <c r="F108" s="29"/>
      <c r="G108" s="29"/>
      <c r="H108" s="35"/>
      <c r="I108" s="36"/>
      <c r="J108" s="29"/>
      <c r="K108" s="29"/>
      <c r="L108" s="29"/>
      <c r="M108" s="29"/>
      <c r="N108" s="29"/>
      <c r="O108" s="29"/>
      <c r="P108" s="29"/>
      <c r="Q108" s="29"/>
      <c r="R108" s="225"/>
    </row>
    <row r="109" spans="1:18" ht="22.8">
      <c r="A109" s="265" t="s">
        <v>453</v>
      </c>
      <c r="B109" s="161" t="s">
        <v>60</v>
      </c>
      <c r="C109" s="38"/>
      <c r="D109" s="38"/>
      <c r="E109" s="38"/>
      <c r="F109" s="29"/>
      <c r="G109" s="29"/>
      <c r="H109" s="35"/>
      <c r="I109" s="35"/>
      <c r="J109" s="29"/>
      <c r="K109" s="29"/>
      <c r="L109" s="29"/>
      <c r="M109" s="29"/>
      <c r="N109" s="29"/>
      <c r="O109" s="29"/>
      <c r="P109" s="29"/>
      <c r="Q109" s="29"/>
      <c r="R109" s="225"/>
    </row>
    <row r="110" spans="1:18" ht="23.4" thickBot="1">
      <c r="A110" s="266"/>
      <c r="B110" s="38"/>
      <c r="C110" s="38"/>
      <c r="D110" s="38"/>
      <c r="E110" s="38"/>
      <c r="F110" s="29"/>
      <c r="G110" s="29"/>
      <c r="H110" s="35"/>
      <c r="I110" s="36"/>
      <c r="J110" s="29"/>
      <c r="K110" s="29"/>
      <c r="L110" s="29"/>
      <c r="M110" s="29"/>
      <c r="N110" s="29"/>
      <c r="O110" s="29"/>
      <c r="P110" s="29"/>
      <c r="Q110" s="29"/>
      <c r="R110" s="225"/>
    </row>
    <row r="111" spans="1:18" ht="24" thickTop="1" thickBot="1">
      <c r="A111" s="265" t="s">
        <v>236</v>
      </c>
      <c r="B111" s="38"/>
      <c r="C111" s="38" t="s">
        <v>42</v>
      </c>
      <c r="D111" s="38"/>
      <c r="E111" s="38"/>
      <c r="F111" s="29"/>
      <c r="G111" s="29"/>
      <c r="H111" s="35"/>
      <c r="I111" s="1110">
        <v>35</v>
      </c>
      <c r="J111" s="29"/>
      <c r="K111" s="29"/>
      <c r="L111" s="29"/>
      <c r="M111" s="29"/>
      <c r="N111" s="29"/>
      <c r="O111" s="29"/>
      <c r="P111" s="29"/>
      <c r="Q111" s="29"/>
      <c r="R111" s="225"/>
    </row>
    <row r="112" spans="1:18" ht="24" thickTop="1" thickBot="1">
      <c r="A112" s="265" t="s">
        <v>237</v>
      </c>
      <c r="B112" s="38"/>
      <c r="C112" s="38" t="s">
        <v>437</v>
      </c>
      <c r="D112" s="38"/>
      <c r="E112" s="38"/>
      <c r="F112" s="29"/>
      <c r="G112" s="29"/>
      <c r="H112" s="35"/>
      <c r="I112" s="1242">
        <f>+I28/I111</f>
        <v>13.428571428571429</v>
      </c>
      <c r="J112" s="91"/>
      <c r="K112" s="29"/>
      <c r="L112" s="29"/>
      <c r="M112" s="29"/>
      <c r="N112" s="29"/>
      <c r="O112" s="29"/>
      <c r="P112" s="29"/>
      <c r="Q112" s="29"/>
      <c r="R112" s="225"/>
    </row>
    <row r="113" spans="1:18" ht="24" thickTop="1" thickBot="1">
      <c r="A113" s="265" t="s">
        <v>238</v>
      </c>
      <c r="B113" s="35"/>
      <c r="C113" s="38" t="s">
        <v>439</v>
      </c>
      <c r="D113" s="29"/>
      <c r="E113" s="29"/>
      <c r="F113" s="29"/>
      <c r="G113" s="29"/>
      <c r="H113" s="35"/>
      <c r="I113" s="1110">
        <v>14</v>
      </c>
      <c r="J113" s="46"/>
      <c r="K113" s="29"/>
      <c r="L113" s="29"/>
      <c r="M113" s="29"/>
      <c r="N113" s="29"/>
      <c r="O113" s="29"/>
      <c r="P113" s="29"/>
      <c r="Q113" s="29"/>
      <c r="R113" s="225"/>
    </row>
    <row r="114" spans="1:18" ht="24" thickTop="1" thickBot="1">
      <c r="A114" s="265" t="s">
        <v>239</v>
      </c>
      <c r="B114" s="35"/>
      <c r="C114" s="38" t="s">
        <v>441</v>
      </c>
      <c r="D114" s="29"/>
      <c r="E114" s="29"/>
      <c r="F114" s="29"/>
      <c r="G114" s="29"/>
      <c r="H114" s="35"/>
      <c r="I114" s="1110">
        <v>0</v>
      </c>
      <c r="J114" s="46"/>
      <c r="K114" s="29"/>
      <c r="L114" s="29"/>
      <c r="M114" s="29"/>
      <c r="N114" s="29"/>
      <c r="O114" s="29"/>
      <c r="P114" s="29"/>
      <c r="Q114" s="29"/>
      <c r="R114" s="225"/>
    </row>
    <row r="115" spans="1:18" ht="24" thickTop="1" thickBot="1">
      <c r="A115" s="265" t="s">
        <v>240</v>
      </c>
      <c r="B115" s="35"/>
      <c r="C115" s="38" t="s">
        <v>443</v>
      </c>
      <c r="D115" s="29"/>
      <c r="E115" s="29"/>
      <c r="F115" s="29"/>
      <c r="G115" s="29"/>
      <c r="H115" s="35"/>
      <c r="I115" s="1110">
        <v>3.5</v>
      </c>
      <c r="J115" s="46"/>
      <c r="K115" s="29"/>
      <c r="L115" s="29"/>
      <c r="M115" s="29"/>
      <c r="N115" s="29"/>
      <c r="O115" s="29"/>
      <c r="P115" s="29"/>
      <c r="Q115" s="29"/>
      <c r="R115" s="225"/>
    </row>
    <row r="116" spans="1:18" ht="23.4" thickTop="1">
      <c r="A116" s="265" t="s">
        <v>241</v>
      </c>
      <c r="B116" s="35"/>
      <c r="C116" s="38"/>
      <c r="D116" s="38" t="s">
        <v>444</v>
      </c>
      <c r="E116" s="29"/>
      <c r="F116" s="29"/>
      <c r="G116" s="29"/>
      <c r="H116" s="35"/>
      <c r="I116" s="162">
        <f>(I112+I113+I114+I115)/24</f>
        <v>1.2886904761904763</v>
      </c>
      <c r="J116" s="29"/>
      <c r="K116" s="29"/>
      <c r="L116" s="29"/>
      <c r="M116" s="29"/>
      <c r="N116" s="29"/>
      <c r="O116" s="29"/>
      <c r="P116" s="29"/>
      <c r="Q116" s="29"/>
      <c r="R116" s="225"/>
    </row>
    <row r="117" spans="1:18" ht="22.8">
      <c r="A117" s="46"/>
      <c r="B117" s="35"/>
      <c r="C117" s="38" t="s">
        <v>419</v>
      </c>
      <c r="D117" s="29"/>
      <c r="E117" s="29"/>
      <c r="F117" s="29"/>
      <c r="G117" s="29"/>
      <c r="H117" s="35"/>
      <c r="I117" s="36"/>
      <c r="J117" s="29"/>
      <c r="K117" s="29"/>
      <c r="L117" s="29"/>
      <c r="M117" s="29"/>
      <c r="N117" s="29"/>
      <c r="O117" s="29"/>
      <c r="P117" s="29"/>
      <c r="Q117" s="29"/>
      <c r="R117" s="225"/>
    </row>
    <row r="118" spans="1:18" ht="22.8">
      <c r="A118" s="264" t="s">
        <v>454</v>
      </c>
      <c r="B118" s="205" t="s">
        <v>125</v>
      </c>
      <c r="C118" s="38"/>
      <c r="D118" s="29"/>
      <c r="E118" s="29"/>
      <c r="F118" s="29"/>
      <c r="G118" s="29"/>
      <c r="H118" s="35"/>
      <c r="I118" s="892">
        <f>+(K100*I112)</f>
        <v>22022.857142857145</v>
      </c>
      <c r="J118" s="29"/>
      <c r="K118" s="29"/>
      <c r="L118" s="29"/>
      <c r="M118" s="29"/>
      <c r="N118" s="29"/>
      <c r="O118" s="29"/>
      <c r="P118" s="29"/>
      <c r="Q118" s="29"/>
      <c r="R118" s="225"/>
    </row>
    <row r="119" spans="1:18" ht="22.8">
      <c r="A119" s="46"/>
      <c r="B119" s="35"/>
      <c r="C119" s="38"/>
      <c r="D119" s="29"/>
      <c r="E119" s="29"/>
      <c r="F119" s="29"/>
      <c r="G119" s="29"/>
      <c r="H119" s="35"/>
      <c r="I119" s="892"/>
      <c r="J119" s="29"/>
      <c r="K119" s="29"/>
      <c r="L119" s="29"/>
      <c r="M119" s="29"/>
      <c r="N119" s="29"/>
      <c r="O119" s="29"/>
      <c r="P119" s="29"/>
      <c r="Q119" s="29"/>
      <c r="R119" s="225"/>
    </row>
    <row r="120" spans="1:18" ht="22.8">
      <c r="A120" s="265" t="s">
        <v>456</v>
      </c>
      <c r="B120" s="38" t="s">
        <v>174</v>
      </c>
      <c r="C120" s="29"/>
      <c r="D120" s="29"/>
      <c r="E120" s="29"/>
      <c r="F120" s="29"/>
      <c r="G120" s="29"/>
      <c r="H120" s="35"/>
      <c r="I120" s="892">
        <f>(I112+4)</f>
        <v>17.428571428571431</v>
      </c>
      <c r="J120" s="37"/>
      <c r="K120" s="49"/>
      <c r="L120" s="29"/>
      <c r="M120" s="29"/>
      <c r="N120" s="29"/>
      <c r="O120" s="29"/>
      <c r="P120" s="29"/>
      <c r="Q120" s="29"/>
      <c r="R120" s="225"/>
    </row>
    <row r="121" spans="1:18" ht="22.8">
      <c r="A121" s="46"/>
      <c r="B121" s="29"/>
      <c r="C121" s="29"/>
      <c r="D121" s="29"/>
      <c r="E121" s="29"/>
      <c r="F121" s="29"/>
      <c r="G121" s="29"/>
      <c r="H121" s="35"/>
      <c r="I121" s="892"/>
      <c r="J121" s="29"/>
      <c r="K121" s="29"/>
      <c r="L121" s="29"/>
      <c r="M121" s="29"/>
      <c r="N121" s="29"/>
      <c r="O121" s="29"/>
      <c r="P121" s="29"/>
      <c r="Q121" s="29"/>
      <c r="R121" s="225"/>
    </row>
    <row r="122" spans="1:18" ht="22.8">
      <c r="A122" s="265" t="s">
        <v>457</v>
      </c>
      <c r="B122" s="38" t="s">
        <v>175</v>
      </c>
      <c r="C122" s="29"/>
      <c r="D122" s="29"/>
      <c r="E122" s="29"/>
      <c r="F122" s="29"/>
      <c r="G122" s="29"/>
      <c r="H122" s="35"/>
      <c r="I122" s="892">
        <f>+I76*(I120*K100)</f>
        <v>28582.857142857145</v>
      </c>
      <c r="J122" s="29"/>
      <c r="K122" s="29"/>
      <c r="L122" s="29"/>
      <c r="M122" s="29"/>
      <c r="N122" s="29"/>
      <c r="O122" s="29"/>
      <c r="P122" s="29"/>
      <c r="Q122" s="29"/>
      <c r="R122" s="225"/>
    </row>
    <row r="123" spans="1:18" ht="23.4" thickBot="1">
      <c r="A123" s="46"/>
      <c r="B123" s="29"/>
      <c r="C123" s="29"/>
      <c r="D123" s="29"/>
      <c r="E123" s="29"/>
      <c r="F123" s="29"/>
      <c r="G123" s="29"/>
      <c r="H123" s="35"/>
      <c r="I123" s="892"/>
      <c r="J123" s="29"/>
      <c r="K123" s="29"/>
      <c r="L123" s="29"/>
      <c r="M123" s="29"/>
      <c r="N123" s="29"/>
      <c r="O123" s="29"/>
      <c r="P123" s="29"/>
      <c r="Q123" s="29"/>
      <c r="R123" s="225"/>
    </row>
    <row r="124" spans="1:18" ht="24" thickTop="1" thickBot="1">
      <c r="A124" s="265" t="s">
        <v>458</v>
      </c>
      <c r="B124" s="38" t="s">
        <v>176</v>
      </c>
      <c r="C124" s="29"/>
      <c r="D124" s="29"/>
      <c r="E124" s="29"/>
      <c r="F124" s="29"/>
      <c r="G124" s="29"/>
      <c r="H124" s="35"/>
      <c r="I124" s="1109">
        <f>sysdata!L66</f>
        <v>7776</v>
      </c>
      <c r="J124" s="46"/>
      <c r="K124" s="29" t="s">
        <v>7</v>
      </c>
      <c r="L124" s="29"/>
      <c r="M124" s="29" t="s">
        <v>173</v>
      </c>
      <c r="N124" s="29"/>
      <c r="O124" s="29"/>
      <c r="P124" s="29"/>
      <c r="Q124" s="29"/>
      <c r="R124" s="225"/>
    </row>
    <row r="125" spans="1:18" ht="23.4" thickTop="1">
      <c r="A125" s="46"/>
      <c r="B125" s="29"/>
      <c r="C125" s="29"/>
      <c r="D125" s="29"/>
      <c r="E125" s="29"/>
      <c r="F125" s="29"/>
      <c r="G125" s="29"/>
      <c r="H125" s="35"/>
      <c r="I125" s="1008"/>
      <c r="J125" s="29"/>
      <c r="K125" s="29"/>
      <c r="L125" s="29"/>
      <c r="M125" s="29"/>
      <c r="N125" s="29"/>
      <c r="O125" s="29"/>
      <c r="P125" s="29"/>
      <c r="Q125" s="29"/>
      <c r="R125" s="225"/>
    </row>
    <row r="126" spans="1:18" ht="23.4" thickBot="1">
      <c r="A126" s="265" t="s">
        <v>461</v>
      </c>
      <c r="B126" s="38" t="s">
        <v>177</v>
      </c>
      <c r="C126" s="29"/>
      <c r="D126" s="29"/>
      <c r="E126" s="29"/>
      <c r="F126" s="29"/>
      <c r="G126" s="29"/>
      <c r="H126" s="35"/>
      <c r="I126" s="928">
        <f>I122/I124</f>
        <v>3.6757789535567316</v>
      </c>
      <c r="J126" s="29"/>
      <c r="K126" s="29">
        <f>IF(I126&gt;INT(I126)+0.2,ROUNDUP(I126,0),ROUNDDOWN(I126,0))</f>
        <v>4</v>
      </c>
      <c r="L126" s="29"/>
      <c r="M126" s="29"/>
      <c r="N126" s="29"/>
      <c r="O126" s="29"/>
      <c r="P126" s="29"/>
      <c r="Q126" s="29"/>
      <c r="R126" s="225"/>
    </row>
    <row r="127" spans="1:18" ht="24" thickTop="1" thickBot="1">
      <c r="A127" s="266" t="s">
        <v>555</v>
      </c>
      <c r="B127" s="88" t="s">
        <v>1</v>
      </c>
      <c r="C127" s="29"/>
      <c r="D127" s="29"/>
      <c r="E127" s="29"/>
      <c r="F127" s="29"/>
      <c r="G127" s="1114">
        <v>0.25</v>
      </c>
      <c r="H127" s="35"/>
      <c r="I127" s="928">
        <f>+I126*$G$127</f>
        <v>0.91894473838918289</v>
      </c>
      <c r="J127" s="29"/>
      <c r="K127" s="29">
        <f>IF(I127&gt;INT(I127)+0.2,ROUNDUP(I127,0),ROUNDDOWN(I127,0))</f>
        <v>1</v>
      </c>
      <c r="L127" s="29"/>
      <c r="M127" s="29"/>
      <c r="N127" s="29"/>
      <c r="O127" s="29"/>
      <c r="P127" s="29"/>
      <c r="Q127" s="29"/>
      <c r="R127" s="225"/>
    </row>
    <row r="128" spans="1:18" ht="23.4" thickTop="1">
      <c r="A128" s="266" t="s">
        <v>556</v>
      </c>
      <c r="B128" s="163" t="s">
        <v>3</v>
      </c>
      <c r="C128" s="29"/>
      <c r="D128" s="29"/>
      <c r="E128" s="29"/>
      <c r="F128" s="29"/>
      <c r="G128" s="29"/>
      <c r="H128" s="35"/>
      <c r="I128" s="928">
        <f>SUM(I126:I127)</f>
        <v>4.594723691945914</v>
      </c>
      <c r="J128" s="29"/>
      <c r="K128" s="29">
        <f>SUM(K126:K127)</f>
        <v>5</v>
      </c>
      <c r="L128" s="29"/>
      <c r="M128" s="29"/>
      <c r="N128" s="29"/>
      <c r="O128" s="29"/>
      <c r="P128" s="29"/>
      <c r="Q128" s="29"/>
      <c r="R128" s="225"/>
    </row>
    <row r="129" spans="1:18" ht="23.4" thickBot="1">
      <c r="A129" s="46"/>
      <c r="B129" s="29"/>
      <c r="C129" s="29"/>
      <c r="D129" s="29"/>
      <c r="E129" s="29"/>
      <c r="F129" s="29"/>
      <c r="G129" s="29"/>
      <c r="H129" s="35"/>
      <c r="I129" s="929"/>
      <c r="J129" s="29"/>
      <c r="K129" s="29"/>
      <c r="L129" s="29"/>
      <c r="M129" s="29"/>
      <c r="N129" s="29"/>
      <c r="O129" s="29"/>
      <c r="P129" s="29"/>
      <c r="Q129" s="29"/>
      <c r="R129" s="225"/>
    </row>
    <row r="130" spans="1:18" ht="24" thickTop="1" thickBot="1">
      <c r="A130" s="264" t="s">
        <v>463</v>
      </c>
      <c r="B130" s="87" t="s">
        <v>179</v>
      </c>
      <c r="C130" s="29"/>
      <c r="D130" s="29"/>
      <c r="E130" s="29"/>
      <c r="F130" s="29"/>
      <c r="G130" s="29"/>
      <c r="H130" s="35"/>
      <c r="I130" s="1113">
        <v>2</v>
      </c>
      <c r="J130" s="29"/>
      <c r="K130" s="29"/>
      <c r="L130" s="29"/>
      <c r="M130" s="29"/>
      <c r="N130" s="29"/>
      <c r="O130" s="29"/>
      <c r="P130" s="29"/>
      <c r="Q130" s="29"/>
      <c r="R130" s="225"/>
    </row>
    <row r="131" spans="1:18" ht="23.4" thickTop="1">
      <c r="A131" s="46"/>
      <c r="B131" s="29"/>
      <c r="C131" s="29"/>
      <c r="D131" s="29"/>
      <c r="E131" s="29"/>
      <c r="F131" s="29"/>
      <c r="G131" s="29"/>
      <c r="H131" s="35"/>
      <c r="I131" s="89"/>
      <c r="J131" s="29"/>
      <c r="K131" s="29"/>
      <c r="L131" s="29"/>
      <c r="M131" s="29"/>
      <c r="N131" s="29"/>
      <c r="O131" s="29"/>
      <c r="P131" s="29"/>
      <c r="Q131" s="29"/>
      <c r="R131" s="225"/>
    </row>
    <row r="132" spans="1:18" ht="22.8">
      <c r="A132" s="265" t="s">
        <v>464</v>
      </c>
      <c r="B132" s="161" t="s">
        <v>43</v>
      </c>
      <c r="C132" s="29"/>
      <c r="D132" s="29"/>
      <c r="E132" s="29"/>
      <c r="F132" s="29"/>
      <c r="G132" s="29"/>
      <c r="H132" s="35"/>
      <c r="I132" s="97">
        <f>+(K100*R64)/(I22/I116)</f>
        <v>176.12103174603178</v>
      </c>
      <c r="J132" s="30"/>
      <c r="K132" s="29">
        <f>IF(I132&gt;INT(I132)+0.2,ROUNDUP(I132,0),ROUNDDOWN(I132,0))</f>
        <v>176</v>
      </c>
      <c r="L132" s="29"/>
      <c r="M132" s="29"/>
      <c r="N132" s="29"/>
      <c r="O132" s="29"/>
      <c r="P132" s="29"/>
      <c r="Q132" s="29"/>
      <c r="R132" s="225"/>
    </row>
    <row r="133" spans="1:18" ht="23.4" thickBot="1">
      <c r="A133" s="46"/>
      <c r="B133" s="29"/>
      <c r="C133" s="29"/>
      <c r="D133" s="29"/>
      <c r="E133" s="29"/>
      <c r="F133" s="29"/>
      <c r="G133" s="29"/>
      <c r="H133" s="35"/>
      <c r="I133" s="36"/>
      <c r="J133" s="29"/>
      <c r="K133" s="29"/>
      <c r="L133" s="29"/>
      <c r="M133" s="29"/>
      <c r="N133" s="29"/>
      <c r="O133" s="29"/>
      <c r="P133" s="29"/>
      <c r="Q133" s="29"/>
      <c r="R133" s="225"/>
    </row>
    <row r="134" spans="1:18" ht="24" thickTop="1" thickBot="1">
      <c r="A134" s="264" t="s">
        <v>242</v>
      </c>
      <c r="B134" s="88" t="s">
        <v>44</v>
      </c>
      <c r="C134" s="29"/>
      <c r="D134" s="29"/>
      <c r="E134" s="29"/>
      <c r="F134" s="30"/>
      <c r="G134" s="1114">
        <v>0.15</v>
      </c>
      <c r="H134" s="35"/>
      <c r="I134" s="36">
        <f>+I132*G134</f>
        <v>26.418154761904766</v>
      </c>
      <c r="J134" s="29"/>
      <c r="K134" s="29">
        <f>IF(I134&gt;INT(I134)+0.2,ROUNDUP(I134,0),ROUNDDOWN(I134,0))</f>
        <v>27</v>
      </c>
      <c r="L134" s="29"/>
      <c r="M134" s="29"/>
      <c r="N134" s="29"/>
      <c r="O134" s="29"/>
      <c r="P134" s="29"/>
      <c r="Q134" s="29"/>
      <c r="R134" s="225"/>
    </row>
    <row r="135" spans="1:18" ht="23.4" thickTop="1">
      <c r="A135" s="46"/>
      <c r="B135" s="29"/>
      <c r="C135" s="29"/>
      <c r="D135" s="29"/>
      <c r="E135" s="29"/>
      <c r="F135" s="29"/>
      <c r="G135" s="29"/>
      <c r="H135" s="35"/>
      <c r="I135" s="36"/>
      <c r="J135" s="29"/>
      <c r="K135" s="30"/>
      <c r="L135" s="29"/>
      <c r="M135" s="29"/>
      <c r="N135" s="29"/>
      <c r="O135" s="29"/>
      <c r="P135" s="29"/>
      <c r="Q135" s="29"/>
      <c r="R135" s="225"/>
    </row>
    <row r="136" spans="1:18" ht="22.8">
      <c r="A136" s="269" t="s">
        <v>243</v>
      </c>
      <c r="B136" s="163" t="s">
        <v>45</v>
      </c>
      <c r="C136" s="30"/>
      <c r="D136" s="30"/>
      <c r="E136" s="30"/>
      <c r="F136" s="30"/>
      <c r="G136" s="30"/>
      <c r="H136" s="30"/>
      <c r="I136" s="164">
        <f>SUM(I132:I134)</f>
        <v>202.53918650793653</v>
      </c>
      <c r="J136" s="30"/>
      <c r="K136" s="29">
        <f>IF(I136&gt;INT(I136)+0.2,ROUNDUP(I136,0),ROUNDDOWN(I136,0))</f>
        <v>203</v>
      </c>
      <c r="L136" s="29"/>
      <c r="M136" s="29"/>
      <c r="N136" s="29"/>
      <c r="O136" s="29"/>
      <c r="P136" s="29"/>
      <c r="Q136" s="29"/>
      <c r="R136" s="225"/>
    </row>
    <row r="137" spans="1:18" ht="22.8">
      <c r="A137" s="266"/>
      <c r="B137" s="38"/>
      <c r="C137" s="29"/>
      <c r="D137" s="29"/>
      <c r="E137" s="29"/>
      <c r="F137" s="29"/>
      <c r="G137" s="29"/>
      <c r="H137" s="35"/>
      <c r="I137" s="36" t="s">
        <v>350</v>
      </c>
      <c r="J137" s="29"/>
      <c r="K137" s="29"/>
      <c r="L137" s="29"/>
      <c r="M137" s="29"/>
      <c r="N137" s="29"/>
      <c r="O137" s="29"/>
      <c r="P137" s="29"/>
      <c r="Q137" s="29"/>
      <c r="R137" s="225"/>
    </row>
    <row r="138" spans="1:18" ht="22.8">
      <c r="A138" s="265" t="s">
        <v>466</v>
      </c>
      <c r="B138" s="38" t="s">
        <v>78</v>
      </c>
      <c r="C138" s="29"/>
      <c r="D138" s="29"/>
      <c r="E138" s="29"/>
      <c r="F138" s="29"/>
      <c r="G138" s="29"/>
      <c r="H138" s="35"/>
      <c r="I138" s="98">
        <f>+(I28*K100)/1000</f>
        <v>770.8</v>
      </c>
      <c r="J138" s="29"/>
      <c r="K138" s="29"/>
      <c r="L138" s="29"/>
      <c r="M138" s="29"/>
      <c r="N138" s="29"/>
      <c r="O138" s="29"/>
      <c r="P138" s="29"/>
      <c r="Q138" s="29"/>
      <c r="R138" s="225"/>
    </row>
    <row r="139" spans="1:18" ht="22.8">
      <c r="A139" s="266"/>
      <c r="B139" s="38"/>
      <c r="C139" s="29"/>
      <c r="D139" s="29"/>
      <c r="E139" s="29"/>
      <c r="F139" s="29"/>
      <c r="G139" s="29"/>
      <c r="H139" s="35"/>
      <c r="I139" s="36"/>
      <c r="J139" s="29"/>
      <c r="K139" s="29"/>
      <c r="L139" s="29"/>
      <c r="M139" s="29"/>
      <c r="N139" s="29"/>
      <c r="O139" s="29"/>
      <c r="P139" s="29"/>
      <c r="Q139" s="29"/>
      <c r="R139" s="225"/>
    </row>
    <row r="140" spans="1:18" ht="22.8">
      <c r="A140" s="265" t="s">
        <v>467</v>
      </c>
      <c r="B140" s="38" t="s">
        <v>61</v>
      </c>
      <c r="C140" s="29"/>
      <c r="D140" s="29"/>
      <c r="E140" s="29"/>
      <c r="F140" s="29"/>
      <c r="G140" s="29"/>
      <c r="H140" s="35"/>
      <c r="I140" s="98">
        <f>((I28+2)*I76*K100)/1000</f>
        <v>774.08</v>
      </c>
      <c r="J140" s="29"/>
      <c r="K140" s="29"/>
      <c r="L140" s="29"/>
      <c r="M140" s="29"/>
      <c r="N140" s="29"/>
      <c r="O140" s="29"/>
      <c r="P140" s="29"/>
      <c r="Q140" s="29"/>
      <c r="R140" s="225"/>
    </row>
    <row r="141" spans="1:18" ht="22.8">
      <c r="A141" s="266"/>
      <c r="B141" s="38"/>
      <c r="C141" s="29"/>
      <c r="D141" s="29"/>
      <c r="E141" s="29"/>
      <c r="F141" s="29"/>
      <c r="G141" s="29"/>
      <c r="H141" s="35"/>
      <c r="I141" s="36"/>
      <c r="J141" s="29"/>
      <c r="K141" s="29"/>
      <c r="L141" s="29"/>
      <c r="M141" s="29"/>
      <c r="N141" s="29"/>
      <c r="O141" s="29"/>
      <c r="P141" s="29"/>
      <c r="Q141" s="29"/>
      <c r="R141" s="225"/>
    </row>
    <row r="142" spans="1:18" ht="22.8">
      <c r="A142" s="265" t="s">
        <v>469</v>
      </c>
      <c r="B142" s="38" t="s">
        <v>108</v>
      </c>
      <c r="C142" s="29"/>
      <c r="D142" s="29"/>
      <c r="E142" s="29"/>
      <c r="F142" s="29"/>
      <c r="G142" s="29"/>
      <c r="H142" s="29"/>
      <c r="I142" s="892">
        <f>(I28*R64*K100)/1000</f>
        <v>23124</v>
      </c>
      <c r="J142" s="29"/>
      <c r="K142" s="29"/>
      <c r="L142" s="29"/>
      <c r="M142" s="29"/>
      <c r="N142" s="29"/>
      <c r="O142" s="29"/>
      <c r="P142" s="29"/>
      <c r="Q142" s="29"/>
      <c r="R142" s="225"/>
    </row>
    <row r="143" spans="1:18" ht="22.8">
      <c r="A143" s="266"/>
      <c r="B143" s="38"/>
      <c r="C143" s="29"/>
      <c r="D143" s="29"/>
      <c r="E143" s="29"/>
      <c r="F143" s="29"/>
      <c r="G143" s="29"/>
      <c r="H143" s="35"/>
      <c r="I143" s="892"/>
      <c r="J143" s="29"/>
      <c r="K143" s="29"/>
      <c r="L143" s="29"/>
      <c r="M143" s="29"/>
      <c r="N143" s="29"/>
      <c r="O143" s="29"/>
      <c r="P143" s="29"/>
      <c r="Q143" s="29"/>
      <c r="R143" s="225"/>
    </row>
    <row r="144" spans="1:18" ht="22.8">
      <c r="A144" s="265" t="s">
        <v>470</v>
      </c>
      <c r="B144" s="38" t="s">
        <v>62</v>
      </c>
      <c r="C144" s="29"/>
      <c r="D144" s="29"/>
      <c r="E144" s="29"/>
      <c r="F144" s="29"/>
      <c r="G144" s="29"/>
      <c r="H144" s="35"/>
      <c r="I144" s="892">
        <f>+(K100*0.5*I28*I84)/1000+(K100*0.5*I28*I86)/1000</f>
        <v>923418.4</v>
      </c>
      <c r="J144" s="37"/>
      <c r="K144" s="49"/>
      <c r="L144" s="29"/>
      <c r="M144" s="29"/>
      <c r="N144" s="29"/>
      <c r="O144" s="29"/>
      <c r="P144" s="29"/>
      <c r="Q144" s="29"/>
      <c r="R144" s="225"/>
    </row>
    <row r="145" spans="1:18" ht="22.8">
      <c r="A145" s="266"/>
      <c r="B145" s="38"/>
      <c r="C145" s="29"/>
      <c r="D145" s="29"/>
      <c r="E145" s="29"/>
      <c r="F145" s="29"/>
      <c r="G145" s="29"/>
      <c r="H145" s="35"/>
      <c r="I145" s="892"/>
      <c r="J145" s="29"/>
      <c r="K145" s="29"/>
      <c r="L145" s="29"/>
      <c r="M145" s="29"/>
      <c r="N145" s="29"/>
      <c r="O145" s="29"/>
      <c r="P145" s="29"/>
      <c r="Q145" s="29"/>
      <c r="R145" s="225"/>
    </row>
    <row r="146" spans="1:18" ht="22.8">
      <c r="A146" s="265" t="s">
        <v>472</v>
      </c>
      <c r="B146" s="38" t="s">
        <v>65</v>
      </c>
      <c r="C146" s="29"/>
      <c r="D146" s="29"/>
      <c r="E146" s="29"/>
      <c r="F146" s="29"/>
      <c r="G146" s="29"/>
      <c r="H146" s="35" t="s">
        <v>789</v>
      </c>
      <c r="I146" s="892">
        <f>+(K100*0.5*I28*I88)/1000+(K100*0.5*I28*I90)/1000</f>
        <v>1012060.4</v>
      </c>
      <c r="J146" s="37"/>
      <c r="K146" s="49"/>
      <c r="L146" s="35"/>
      <c r="M146" s="29"/>
      <c r="N146" s="29"/>
      <c r="O146" s="29"/>
      <c r="P146" s="29"/>
      <c r="Q146" s="29"/>
      <c r="R146" s="225"/>
    </row>
    <row r="147" spans="1:18" ht="23.4" thickBot="1">
      <c r="A147" s="266"/>
      <c r="B147" s="38"/>
      <c r="C147" s="29"/>
      <c r="D147" s="29"/>
      <c r="E147" s="29"/>
      <c r="F147" s="29"/>
      <c r="G147" s="29"/>
      <c r="H147" s="35"/>
      <c r="I147" s="36"/>
      <c r="J147" s="29"/>
      <c r="K147" s="29"/>
      <c r="L147" s="35"/>
      <c r="M147" s="29"/>
      <c r="N147" s="29"/>
      <c r="O147" s="29"/>
      <c r="P147" s="29"/>
      <c r="Q147" s="29"/>
      <c r="R147" s="225"/>
    </row>
    <row r="148" spans="1:18" ht="24" thickTop="1" thickBot="1">
      <c r="A148" s="265" t="s">
        <v>283</v>
      </c>
      <c r="B148" s="38" t="s">
        <v>455</v>
      </c>
      <c r="C148" s="29"/>
      <c r="D148" s="29"/>
      <c r="E148" s="29"/>
      <c r="F148" s="29"/>
      <c r="G148" s="29"/>
      <c r="H148" s="35"/>
      <c r="I148" s="1115">
        <f>sysdata!G67</f>
        <v>4</v>
      </c>
      <c r="J148" s="46"/>
      <c r="K148" s="29"/>
      <c r="L148" s="35"/>
      <c r="M148" s="29"/>
      <c r="N148" s="29"/>
      <c r="O148" s="29"/>
      <c r="P148" s="29"/>
      <c r="Q148" s="29"/>
      <c r="R148" s="225"/>
    </row>
    <row r="149" spans="1:18" ht="24" thickTop="1" thickBot="1">
      <c r="A149" s="265"/>
      <c r="B149" s="38"/>
      <c r="C149" s="29"/>
      <c r="D149" s="29"/>
      <c r="E149" s="29"/>
      <c r="F149" s="29"/>
      <c r="G149" s="29"/>
      <c r="H149" s="35"/>
      <c r="I149" s="914"/>
      <c r="J149" s="91"/>
      <c r="K149" s="29"/>
      <c r="L149" s="35"/>
      <c r="M149" s="29"/>
      <c r="N149" s="29"/>
      <c r="O149" s="29"/>
      <c r="P149" s="29"/>
      <c r="Q149" s="29"/>
      <c r="R149" s="225"/>
    </row>
    <row r="150" spans="1:18" ht="24" thickTop="1" thickBot="1">
      <c r="A150" s="265" t="s">
        <v>284</v>
      </c>
      <c r="B150" s="38" t="s">
        <v>902</v>
      </c>
      <c r="C150" s="29"/>
      <c r="D150" s="29"/>
      <c r="E150" s="29"/>
      <c r="F150" s="29"/>
      <c r="G150" s="29"/>
      <c r="H150" s="35"/>
      <c r="I150" s="1457">
        <f>sysdata!G69</f>
        <v>11.4</v>
      </c>
      <c r="J150" s="91"/>
      <c r="K150" s="29"/>
      <c r="L150" s="35"/>
      <c r="M150" s="29"/>
      <c r="N150" s="29"/>
      <c r="O150" s="29"/>
      <c r="P150" s="29"/>
      <c r="Q150" s="29"/>
      <c r="R150" s="225"/>
    </row>
    <row r="151" spans="1:18" ht="23.4" thickTop="1">
      <c r="A151" s="265"/>
      <c r="B151" s="38"/>
      <c r="C151" s="29"/>
      <c r="D151" s="29"/>
      <c r="E151" s="29"/>
      <c r="F151" s="29"/>
      <c r="G151" s="29"/>
      <c r="H151" s="35"/>
      <c r="I151" s="914"/>
      <c r="J151" s="91"/>
      <c r="K151" s="29"/>
      <c r="L151" s="35"/>
      <c r="M151" s="29"/>
      <c r="N151" s="29"/>
      <c r="O151" s="29"/>
      <c r="P151" s="29"/>
      <c r="Q151" s="29"/>
      <c r="R151" s="225"/>
    </row>
    <row r="152" spans="1:18" ht="22.8">
      <c r="A152" s="265" t="s">
        <v>474</v>
      </c>
      <c r="B152" s="38" t="s">
        <v>63</v>
      </c>
      <c r="C152" s="29"/>
      <c r="D152" s="29"/>
      <c r="E152" s="29"/>
      <c r="F152" s="29"/>
      <c r="G152" s="29"/>
      <c r="H152" s="35"/>
      <c r="I152" s="932">
        <f>IF(I74="D",I146*I148,0)</f>
        <v>4048241.6</v>
      </c>
      <c r="J152" s="29"/>
      <c r="K152" s="29"/>
      <c r="L152" s="35"/>
      <c r="M152" s="29"/>
      <c r="N152" s="29"/>
      <c r="O152" s="29"/>
      <c r="P152" s="29"/>
      <c r="Q152" s="29"/>
      <c r="R152" s="225"/>
    </row>
    <row r="153" spans="1:18" ht="22.8">
      <c r="A153" s="265"/>
      <c r="B153" s="38"/>
      <c r="C153" s="29"/>
      <c r="D153" s="29"/>
      <c r="E153" s="29"/>
      <c r="F153" s="29"/>
      <c r="G153" s="29"/>
      <c r="H153" s="35"/>
      <c r="I153" s="932"/>
      <c r="J153" s="29"/>
      <c r="K153" s="29"/>
      <c r="L153" s="35"/>
      <c r="M153" s="29"/>
      <c r="N153" s="29"/>
      <c r="O153" s="29"/>
      <c r="P153" s="29"/>
      <c r="Q153" s="29"/>
      <c r="R153" s="225"/>
    </row>
    <row r="154" spans="1:18" ht="22.8">
      <c r="A154" s="265" t="s">
        <v>903</v>
      </c>
      <c r="B154" s="38" t="s">
        <v>897</v>
      </c>
      <c r="C154" s="29"/>
      <c r="D154" s="29"/>
      <c r="E154" s="29"/>
      <c r="F154" s="29"/>
      <c r="G154" s="29"/>
      <c r="H154" s="35"/>
      <c r="I154" s="932">
        <f>IF(I74="E",I144*I150,0)</f>
        <v>0</v>
      </c>
      <c r="J154" s="29"/>
      <c r="K154" s="29"/>
      <c r="L154" s="35"/>
      <c r="M154" s="29"/>
      <c r="N154" s="29"/>
      <c r="O154" s="29"/>
      <c r="P154" s="29"/>
      <c r="Q154" s="29"/>
      <c r="R154" s="225"/>
    </row>
    <row r="155" spans="1:18" ht="22.8">
      <c r="A155" s="265"/>
      <c r="B155" s="38"/>
      <c r="C155" s="29"/>
      <c r="D155" s="29"/>
      <c r="E155" s="29"/>
      <c r="F155" s="29"/>
      <c r="G155" s="29"/>
      <c r="H155" s="35"/>
      <c r="I155" s="932"/>
      <c r="J155" s="29"/>
      <c r="K155" s="29"/>
      <c r="L155" s="35"/>
      <c r="M155" s="29"/>
      <c r="N155" s="29"/>
      <c r="O155" s="29"/>
      <c r="P155" s="29"/>
      <c r="Q155" s="29"/>
      <c r="R155" s="225"/>
    </row>
    <row r="156" spans="1:18" ht="22.8">
      <c r="A156" s="265" t="s">
        <v>476</v>
      </c>
      <c r="B156" s="161" t="s">
        <v>273</v>
      </c>
      <c r="C156" s="29"/>
      <c r="D156" s="29"/>
      <c r="E156" s="29"/>
      <c r="F156" s="29"/>
      <c r="G156" s="29"/>
      <c r="H156" s="35"/>
      <c r="I156" s="169"/>
      <c r="J156" s="29"/>
      <c r="K156" s="29"/>
      <c r="L156" s="35"/>
      <c r="M156" s="29"/>
      <c r="N156" s="29"/>
      <c r="O156" s="29"/>
      <c r="P156" s="29"/>
      <c r="Q156" s="29"/>
      <c r="R156" s="225"/>
    </row>
    <row r="157" spans="1:18" ht="22.8">
      <c r="A157" s="266"/>
      <c r="B157" s="38"/>
      <c r="C157" s="29"/>
      <c r="D157" s="29"/>
      <c r="E157" s="29"/>
      <c r="F157" s="29"/>
      <c r="G157" s="29"/>
      <c r="H157" s="35"/>
      <c r="I157" s="169"/>
      <c r="J157" s="29"/>
      <c r="K157" s="29"/>
      <c r="L157" s="35"/>
      <c r="M157" s="29"/>
      <c r="N157" s="29"/>
      <c r="O157" s="29"/>
      <c r="P157" s="29"/>
      <c r="Q157" s="29"/>
      <c r="R157" s="225"/>
    </row>
    <row r="158" spans="1:18" ht="22.8">
      <c r="A158" s="266" t="s">
        <v>298</v>
      </c>
      <c r="B158" s="38" t="s">
        <v>678</v>
      </c>
      <c r="C158" s="29"/>
      <c r="D158" s="29"/>
      <c r="E158" s="29"/>
      <c r="F158" s="29"/>
      <c r="G158" s="29"/>
      <c r="H158" s="35"/>
      <c r="I158" s="932">
        <f>sysdata!F25-sysdata!F24</f>
        <v>475.80000000000007</v>
      </c>
      <c r="J158" s="29"/>
      <c r="K158" s="29"/>
      <c r="L158" s="35"/>
      <c r="M158" s="29"/>
      <c r="N158" s="29"/>
      <c r="O158" s="29"/>
      <c r="P158" s="29"/>
      <c r="Q158" s="29"/>
      <c r="R158" s="225"/>
    </row>
    <row r="159" spans="1:18" ht="23.4" thickBot="1">
      <c r="A159" s="266"/>
      <c r="B159" s="38"/>
      <c r="C159" s="29"/>
      <c r="D159" s="29"/>
      <c r="E159" s="29"/>
      <c r="F159" s="29"/>
      <c r="G159" s="29"/>
      <c r="H159" s="35"/>
      <c r="I159" s="169"/>
      <c r="J159" s="29"/>
      <c r="K159" s="29"/>
      <c r="L159" s="35"/>
      <c r="M159" s="29"/>
      <c r="N159" s="29"/>
      <c r="O159" s="29"/>
      <c r="P159" s="29"/>
      <c r="Q159" s="29"/>
      <c r="R159" s="225"/>
    </row>
    <row r="160" spans="1:18" ht="24" thickTop="1" thickBot="1">
      <c r="A160" s="265" t="s">
        <v>299</v>
      </c>
      <c r="B160" s="38" t="s">
        <v>85</v>
      </c>
      <c r="C160" s="29"/>
      <c r="D160" s="29"/>
      <c r="E160" s="29"/>
      <c r="F160" s="29"/>
      <c r="G160" s="29"/>
      <c r="H160" s="35"/>
      <c r="I160" s="1116">
        <f>sysdata!E25/(sysdata!C177+sysdata!C178)</f>
        <v>117.5</v>
      </c>
      <c r="J160" s="29"/>
      <c r="K160" s="29"/>
      <c r="L160" s="35"/>
      <c r="M160" s="29"/>
      <c r="N160" s="29"/>
      <c r="O160" s="29"/>
      <c r="P160" s="29"/>
      <c r="Q160" s="29"/>
      <c r="R160" s="225"/>
    </row>
    <row r="161" spans="1:18" ht="23.4" thickTop="1">
      <c r="A161" s="266"/>
      <c r="B161" s="38"/>
      <c r="C161" s="29"/>
      <c r="D161" s="29"/>
      <c r="E161" s="29"/>
      <c r="F161" s="29"/>
      <c r="G161" s="29"/>
      <c r="H161" s="35"/>
      <c r="I161" s="169"/>
      <c r="J161" s="29"/>
      <c r="K161" s="29"/>
      <c r="L161" s="35"/>
      <c r="M161" s="29"/>
      <c r="N161" s="29"/>
      <c r="O161" s="29"/>
      <c r="P161" s="29"/>
      <c r="Q161" s="29"/>
      <c r="R161" s="225"/>
    </row>
    <row r="162" spans="1:18" ht="22.8">
      <c r="A162" s="265" t="s">
        <v>300</v>
      </c>
      <c r="B162" s="38" t="s">
        <v>86</v>
      </c>
      <c r="C162" s="29"/>
      <c r="D162" s="29"/>
      <c r="E162" s="29"/>
      <c r="F162" s="29"/>
      <c r="G162" s="29"/>
      <c r="H162" s="35"/>
      <c r="I162" s="169">
        <f>sysdata!E25/I160</f>
        <v>4</v>
      </c>
      <c r="J162" s="29"/>
      <c r="K162" s="29"/>
      <c r="L162" s="35"/>
      <c r="M162" s="29"/>
      <c r="N162" s="29"/>
      <c r="O162" s="29"/>
      <c r="P162" s="29"/>
      <c r="Q162" s="29"/>
      <c r="R162" s="225"/>
    </row>
    <row r="163" spans="1:18" ht="23.4" thickBot="1">
      <c r="A163" s="266"/>
      <c r="B163" s="38"/>
      <c r="C163" s="29"/>
      <c r="D163" s="29"/>
      <c r="E163" s="29"/>
      <c r="F163" s="29"/>
      <c r="G163" s="29"/>
      <c r="H163" s="35"/>
      <c r="I163" s="169"/>
      <c r="J163" s="29"/>
      <c r="K163" s="29"/>
      <c r="L163" s="35"/>
      <c r="M163" s="29"/>
      <c r="N163" s="29"/>
      <c r="O163" s="29"/>
      <c r="P163" s="29"/>
      <c r="Q163" s="29"/>
      <c r="R163" s="225"/>
    </row>
    <row r="164" spans="1:18" ht="24" thickTop="1" thickBot="1">
      <c r="A164" s="265" t="s">
        <v>302</v>
      </c>
      <c r="B164" s="38" t="s">
        <v>301</v>
      </c>
      <c r="C164" s="29"/>
      <c r="D164" s="29"/>
      <c r="E164" s="29"/>
      <c r="F164" s="29"/>
      <c r="G164" s="29"/>
      <c r="H164" s="35"/>
      <c r="I164" s="1117">
        <f>M100</f>
        <v>0.18846242243162492</v>
      </c>
      <c r="J164" s="29"/>
      <c r="K164" s="29"/>
      <c r="L164" s="35"/>
      <c r="M164" s="29"/>
      <c r="N164" s="29"/>
      <c r="O164" s="29"/>
      <c r="P164" s="29"/>
      <c r="Q164" s="29"/>
      <c r="R164" s="225"/>
    </row>
    <row r="165" spans="1:18" ht="23.4" thickTop="1">
      <c r="A165" s="266"/>
      <c r="B165" s="38"/>
      <c r="C165" s="29"/>
      <c r="D165" s="29"/>
      <c r="E165" s="29"/>
      <c r="F165" s="29"/>
      <c r="G165" s="29"/>
      <c r="H165" s="35"/>
      <c r="I165" s="169"/>
      <c r="J165" s="29"/>
      <c r="K165" s="29"/>
      <c r="L165" s="35"/>
      <c r="M165" s="29"/>
      <c r="N165" s="29"/>
      <c r="O165" s="29"/>
      <c r="P165" s="29"/>
      <c r="Q165" s="29"/>
      <c r="R165" s="225"/>
    </row>
    <row r="166" spans="1:18" ht="30">
      <c r="A166" s="265" t="s">
        <v>303</v>
      </c>
      <c r="B166" s="38" t="s">
        <v>91</v>
      </c>
      <c r="C166" s="29"/>
      <c r="D166" s="29"/>
      <c r="E166" s="29"/>
      <c r="F166" s="29"/>
      <c r="G166" s="29"/>
      <c r="H166" s="35"/>
      <c r="I166" s="1118" t="str">
        <f>IF(K104&gt;10000,"DOUBLE!","SINGLE!")</f>
        <v>SINGLE!</v>
      </c>
      <c r="J166" s="29"/>
      <c r="K166" s="29"/>
      <c r="L166" s="35"/>
      <c r="M166" s="29"/>
      <c r="N166" s="29"/>
      <c r="O166" s="29"/>
      <c r="P166" s="29"/>
      <c r="Q166" s="29"/>
      <c r="R166" s="225"/>
    </row>
    <row r="167" spans="1:18" ht="30.6" thickBot="1">
      <c r="A167" s="265"/>
      <c r="B167" s="38"/>
      <c r="C167" s="29"/>
      <c r="D167" s="29"/>
      <c r="E167" s="29"/>
      <c r="F167" s="29"/>
      <c r="G167" s="29"/>
      <c r="H167" s="35"/>
      <c r="I167" s="184"/>
      <c r="J167" s="29"/>
      <c r="K167" s="29"/>
      <c r="L167" s="35"/>
      <c r="M167" s="29"/>
      <c r="N167" s="29"/>
      <c r="O167" s="29"/>
      <c r="P167" s="29"/>
      <c r="Q167" s="29"/>
      <c r="R167" s="225"/>
    </row>
    <row r="168" spans="1:18" ht="24" thickTop="1" thickBot="1">
      <c r="A168" s="265" t="s">
        <v>787</v>
      </c>
      <c r="B168" s="38" t="s">
        <v>270</v>
      </c>
      <c r="C168" s="29"/>
      <c r="D168" s="29"/>
      <c r="E168" s="29"/>
      <c r="F168" s="29"/>
      <c r="G168" s="29"/>
      <c r="H168" s="35"/>
      <c r="I168" s="1117">
        <f>M100</f>
        <v>0.18846242243162492</v>
      </c>
      <c r="J168" s="29"/>
      <c r="K168" s="29"/>
      <c r="L168" s="35"/>
      <c r="M168" s="29"/>
      <c r="N168" s="29"/>
      <c r="O168" s="29"/>
      <c r="P168" s="29"/>
      <c r="Q168" s="29"/>
      <c r="R168" s="225"/>
    </row>
    <row r="169" spans="1:18" ht="23.4" thickTop="1">
      <c r="A169" s="265"/>
      <c r="B169" s="38"/>
      <c r="C169" s="29"/>
      <c r="D169" s="29"/>
      <c r="E169" s="29"/>
      <c r="F169" s="29"/>
      <c r="G169" s="29"/>
      <c r="H169" s="35"/>
      <c r="I169" s="342"/>
      <c r="J169" s="29"/>
      <c r="K169" s="29"/>
      <c r="L169" s="35"/>
      <c r="M169" s="29"/>
      <c r="N169" s="29"/>
      <c r="O169" s="29"/>
      <c r="P169" s="29"/>
      <c r="Q169" s="29"/>
      <c r="R169" s="225"/>
    </row>
    <row r="170" spans="1:18" ht="23.4" thickBot="1">
      <c r="A170" s="266"/>
      <c r="B170" s="38"/>
      <c r="C170" s="29"/>
      <c r="D170" s="29"/>
      <c r="E170" s="29"/>
      <c r="F170" s="29"/>
      <c r="G170" s="29"/>
      <c r="H170" s="35"/>
      <c r="I170" s="169"/>
      <c r="J170" s="29"/>
      <c r="K170" s="29"/>
      <c r="L170" s="35"/>
      <c r="M170" s="29"/>
      <c r="N170" s="29"/>
      <c r="O170" s="29"/>
      <c r="P170" s="29"/>
      <c r="Q170" s="29"/>
      <c r="R170" s="225"/>
    </row>
    <row r="171" spans="1:18" ht="23.4" thickTop="1">
      <c r="A171" s="1098" t="s">
        <v>200</v>
      </c>
      <c r="B171" s="1099"/>
      <c r="C171" s="1099"/>
      <c r="D171" s="1099"/>
      <c r="E171" s="1099"/>
      <c r="F171" s="1099"/>
      <c r="G171" s="1099"/>
      <c r="H171" s="1099"/>
      <c r="I171" s="1100"/>
      <c r="J171" s="1101"/>
      <c r="K171" s="1102"/>
      <c r="L171" s="1102"/>
      <c r="M171" s="1102"/>
      <c r="N171" s="1102"/>
      <c r="O171" s="1102"/>
      <c r="P171" s="1102"/>
      <c r="Q171" s="1102"/>
      <c r="R171" s="1103"/>
    </row>
    <row r="172" spans="1:18">
      <c r="A172" s="26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25"/>
    </row>
    <row r="173" spans="1:18" ht="22.8">
      <c r="A173" s="263" t="s">
        <v>459</v>
      </c>
      <c r="B173" s="34" t="s">
        <v>79</v>
      </c>
      <c r="C173" s="29"/>
      <c r="D173" s="29"/>
      <c r="E173" s="29"/>
      <c r="F173" s="29"/>
      <c r="G173" s="29"/>
      <c r="H173" s="29"/>
      <c r="I173" s="36"/>
      <c r="J173" s="29"/>
      <c r="K173" s="29"/>
      <c r="L173" s="29"/>
      <c r="M173" s="29"/>
      <c r="N173" s="29"/>
      <c r="O173" s="29"/>
      <c r="P173" s="29"/>
      <c r="Q173" s="29"/>
      <c r="R173" s="225"/>
    </row>
    <row r="174" spans="1:18" ht="23.4" thickBot="1">
      <c r="A174" s="263"/>
      <c r="B174" s="45"/>
      <c r="C174" s="29"/>
      <c r="D174" s="29"/>
      <c r="E174" s="29"/>
      <c r="F174" s="29"/>
      <c r="G174" s="29"/>
      <c r="H174" s="29"/>
      <c r="I174" s="36"/>
      <c r="J174" s="29"/>
      <c r="K174" s="29"/>
      <c r="L174" s="29"/>
      <c r="M174" s="29"/>
      <c r="N174" s="29"/>
      <c r="O174" s="29"/>
      <c r="P174" s="29"/>
      <c r="Q174" s="29"/>
      <c r="R174" s="225"/>
    </row>
    <row r="175" spans="1:18" ht="24" thickTop="1" thickBot="1">
      <c r="A175" s="263"/>
      <c r="B175" s="50"/>
      <c r="C175" s="37" t="s">
        <v>460</v>
      </c>
      <c r="D175" s="29"/>
      <c r="E175" s="29"/>
      <c r="F175" s="29"/>
      <c r="G175" s="29"/>
      <c r="H175" s="29"/>
      <c r="I175" s="1110" t="s">
        <v>660</v>
      </c>
      <c r="J175" s="46"/>
      <c r="K175" s="29"/>
      <c r="L175" s="29"/>
      <c r="M175" s="165"/>
      <c r="N175" s="29"/>
      <c r="O175" s="29"/>
      <c r="P175" s="29"/>
      <c r="Q175" s="29"/>
      <c r="R175" s="225"/>
    </row>
    <row r="176" spans="1:18" ht="23.4" thickTop="1">
      <c r="A176" s="46"/>
      <c r="B176" s="29"/>
      <c r="C176" s="29"/>
      <c r="D176" s="29"/>
      <c r="E176" s="29"/>
      <c r="F176" s="29"/>
      <c r="G176" s="29"/>
      <c r="H176" s="29"/>
      <c r="I176" s="33"/>
      <c r="J176" s="29"/>
      <c r="K176" s="29"/>
      <c r="L176" s="29"/>
      <c r="M176" s="89"/>
      <c r="N176" s="29"/>
      <c r="O176" s="29"/>
      <c r="P176" s="29"/>
      <c r="Q176" s="29"/>
      <c r="R176" s="225"/>
    </row>
    <row r="177" spans="1:18" ht="22.8">
      <c r="A177" s="46"/>
      <c r="B177" s="29"/>
      <c r="C177" s="29"/>
      <c r="D177" s="29"/>
      <c r="E177" s="29"/>
      <c r="F177" s="29"/>
      <c r="G177" s="29"/>
      <c r="H177" s="29"/>
      <c r="I177" s="89"/>
      <c r="J177" s="29"/>
      <c r="K177" s="29"/>
      <c r="L177" s="29"/>
      <c r="M177" s="89"/>
      <c r="N177" s="29"/>
      <c r="O177" s="29"/>
      <c r="P177" s="29"/>
      <c r="Q177" s="29"/>
      <c r="R177" s="225"/>
    </row>
    <row r="178" spans="1:18" ht="22.8">
      <c r="A178" s="46"/>
      <c r="B178" s="29"/>
      <c r="C178" s="29"/>
      <c r="D178" s="29"/>
      <c r="E178" s="29"/>
      <c r="F178" s="29"/>
      <c r="G178" s="29"/>
      <c r="H178" s="29"/>
      <c r="I178" s="171" t="s">
        <v>80</v>
      </c>
      <c r="J178" s="172" t="s">
        <v>82</v>
      </c>
      <c r="K178" s="29"/>
      <c r="L178" s="29"/>
      <c r="M178" s="171" t="s">
        <v>81</v>
      </c>
      <c r="N178" s="29"/>
      <c r="O178" s="29"/>
      <c r="P178" s="29"/>
      <c r="Q178" s="29"/>
      <c r="R178" s="225"/>
    </row>
    <row r="179" spans="1:18" ht="22.8">
      <c r="A179" s="46"/>
      <c r="B179" s="29"/>
      <c r="C179" s="29"/>
      <c r="D179" s="29"/>
      <c r="E179" s="29"/>
      <c r="F179" s="29"/>
      <c r="G179" s="29"/>
      <c r="H179" s="29"/>
      <c r="I179" s="89"/>
      <c r="J179" s="173" t="s">
        <v>83</v>
      </c>
      <c r="K179" s="29"/>
      <c r="L179" s="29"/>
      <c r="M179" s="89"/>
      <c r="N179" s="29"/>
      <c r="O179" s="29"/>
      <c r="P179" s="29"/>
      <c r="Q179" s="29"/>
      <c r="R179" s="225"/>
    </row>
    <row r="180" spans="1:18" ht="22.8">
      <c r="A180" s="270" t="s">
        <v>526</v>
      </c>
      <c r="B180" s="88" t="s">
        <v>530</v>
      </c>
      <c r="C180" s="88"/>
      <c r="D180" s="88"/>
      <c r="E180" s="88"/>
      <c r="F180" s="88"/>
      <c r="G180" s="29"/>
      <c r="H180" s="29"/>
      <c r="I180" s="36"/>
      <c r="J180" s="29"/>
      <c r="K180" s="29"/>
      <c r="L180" s="29"/>
      <c r="M180" s="36"/>
      <c r="N180" s="29"/>
      <c r="O180" s="776" t="s">
        <v>348</v>
      </c>
      <c r="P180" s="29"/>
      <c r="Q180" s="29"/>
      <c r="R180" s="225"/>
    </row>
    <row r="181" spans="1:18" ht="12" customHeight="1" thickBot="1">
      <c r="A181" s="271"/>
      <c r="B181" s="88"/>
      <c r="C181" s="88"/>
      <c r="D181" s="88"/>
      <c r="E181" s="88"/>
      <c r="F181" s="88"/>
      <c r="G181" s="29"/>
      <c r="H181" s="29"/>
      <c r="I181" s="36"/>
      <c r="J181" s="29"/>
      <c r="K181" s="29"/>
      <c r="L181" s="29"/>
      <c r="M181" s="36"/>
      <c r="N181" s="29"/>
      <c r="O181" s="29"/>
      <c r="P181" s="29"/>
      <c r="Q181" s="29"/>
      <c r="R181" s="225"/>
    </row>
    <row r="182" spans="1:18" ht="32.25" customHeight="1" thickTop="1" thickBot="1">
      <c r="A182" s="265" t="s">
        <v>480</v>
      </c>
      <c r="B182" s="38" t="s">
        <v>462</v>
      </c>
      <c r="C182" s="29"/>
      <c r="D182" s="29"/>
      <c r="E182" s="29"/>
      <c r="F182" s="29"/>
      <c r="G182" s="29"/>
      <c r="H182" s="29"/>
      <c r="I182" s="1111">
        <f>sysdata!C153</f>
        <v>58.049535603715164</v>
      </c>
      <c r="J182" s="46"/>
      <c r="K182" s="1119">
        <f>passengers!K187</f>
        <v>0.87227414330218067</v>
      </c>
      <c r="L182" s="29"/>
      <c r="M182" s="179">
        <f>+I182*K182</f>
        <v>50.635108937820078</v>
      </c>
      <c r="N182" s="29"/>
      <c r="O182" s="1241" t="s">
        <v>715</v>
      </c>
      <c r="P182" s="771"/>
      <c r="Q182" s="771"/>
      <c r="R182" s="1222"/>
    </row>
    <row r="183" spans="1:18" ht="24" thickTop="1" thickBot="1">
      <c r="A183" s="46"/>
      <c r="B183" s="29"/>
      <c r="C183" s="29"/>
      <c r="D183" s="29"/>
      <c r="E183" s="29"/>
      <c r="F183" s="29"/>
      <c r="G183" s="29"/>
      <c r="H183" s="29"/>
      <c r="I183" s="33"/>
      <c r="J183" s="29"/>
      <c r="K183" s="29"/>
      <c r="L183" s="29"/>
      <c r="M183" s="89"/>
      <c r="N183" s="29"/>
      <c r="O183" s="1240" t="s">
        <v>716</v>
      </c>
      <c r="P183" s="771"/>
      <c r="Q183" s="771"/>
      <c r="R183" s="1222"/>
    </row>
    <row r="184" spans="1:18" ht="24" thickTop="1" thickBot="1">
      <c r="A184" s="265" t="s">
        <v>481</v>
      </c>
      <c r="B184" s="38" t="s">
        <v>465</v>
      </c>
      <c r="C184" s="35"/>
      <c r="D184" s="35"/>
      <c r="E184" s="35"/>
      <c r="F184" s="29"/>
      <c r="G184" s="29"/>
      <c r="H184" s="29"/>
      <c r="I184" s="1120">
        <f>sysdata!C169</f>
        <v>0.97911227154046998</v>
      </c>
      <c r="J184" s="46"/>
      <c r="K184" s="1119">
        <f>passengers!K189</f>
        <v>0.85</v>
      </c>
      <c r="L184" s="29"/>
      <c r="M184" s="174">
        <f>+I184*K184</f>
        <v>0.8322454308093995</v>
      </c>
      <c r="N184" s="29"/>
      <c r="O184" s="1240" t="str">
        <f>passengers!O189</f>
        <v>No fuel subsidy assumed. Therefore, SPF is retail price less taxes (assumed to be 15%).</v>
      </c>
      <c r="P184" s="771"/>
      <c r="Q184" s="771"/>
      <c r="R184" s="1222"/>
    </row>
    <row r="185" spans="1:18" ht="24" thickTop="1" thickBot="1">
      <c r="A185" s="46"/>
      <c r="B185" s="29"/>
      <c r="C185" s="29"/>
      <c r="D185" s="29"/>
      <c r="E185" s="29"/>
      <c r="F185" s="29"/>
      <c r="G185" s="29"/>
      <c r="H185" s="29"/>
      <c r="I185" s="33"/>
      <c r="J185" s="29"/>
      <c r="K185" s="29"/>
      <c r="L185" s="29"/>
      <c r="M185" s="89"/>
      <c r="N185" s="29"/>
      <c r="O185" s="771"/>
      <c r="P185" s="771"/>
      <c r="Q185" s="771"/>
      <c r="R185" s="1222"/>
    </row>
    <row r="186" spans="1:18" ht="24" thickTop="1" thickBot="1">
      <c r="A186" s="767" t="s">
        <v>688</v>
      </c>
      <c r="B186" s="38" t="s">
        <v>891</v>
      </c>
      <c r="C186" s="29"/>
      <c r="D186" s="29"/>
      <c r="E186" s="29"/>
      <c r="F186" s="29"/>
      <c r="G186" s="29"/>
      <c r="H186" s="29"/>
      <c r="I186" s="1120">
        <f>sysdata!C170</f>
        <v>7.0000000000000007E-2</v>
      </c>
      <c r="J186" s="29"/>
      <c r="K186" s="1119">
        <f>passengers!K189</f>
        <v>0.85</v>
      </c>
      <c r="L186" s="29"/>
      <c r="M186" s="174">
        <f>+I186*K186</f>
        <v>5.9500000000000004E-2</v>
      </c>
      <c r="N186" s="29"/>
      <c r="O186" s="1240" t="str">
        <f>passengers!O193</f>
        <v xml:space="preserve">Note: 80% assumed to comprise spare parts, attracting 15% import duty and 10% VAT, while balance (20%) </v>
      </c>
      <c r="P186" s="771"/>
      <c r="Q186" s="771"/>
      <c r="R186" s="1222"/>
    </row>
    <row r="187" spans="1:18" ht="24" thickTop="1" thickBot="1">
      <c r="A187" s="46"/>
      <c r="B187" s="29"/>
      <c r="C187" s="29"/>
      <c r="D187" s="29"/>
      <c r="E187" s="29"/>
      <c r="F187" s="29"/>
      <c r="G187" s="29"/>
      <c r="H187" s="29"/>
      <c r="I187" s="33"/>
      <c r="J187" s="29"/>
      <c r="K187" s="29"/>
      <c r="L187" s="29"/>
      <c r="M187" s="89"/>
      <c r="N187" s="29"/>
      <c r="O187" s="771"/>
      <c r="P187" s="771"/>
      <c r="Q187" s="771"/>
      <c r="R187" s="1222"/>
    </row>
    <row r="188" spans="1:18" ht="24" thickTop="1" thickBot="1">
      <c r="A188" s="265" t="s">
        <v>482</v>
      </c>
      <c r="B188" s="38" t="s">
        <v>468</v>
      </c>
      <c r="C188" s="29"/>
      <c r="D188" s="29"/>
      <c r="E188" s="29"/>
      <c r="F188" s="29"/>
      <c r="G188" s="29"/>
      <c r="H188" s="29"/>
      <c r="I188" s="1120">
        <f>sysdata!J66</f>
        <v>1.1427777777777779</v>
      </c>
      <c r="J188" s="46"/>
      <c r="K188" s="1119">
        <f>passengers!K193</f>
        <v>0.81200000000000017</v>
      </c>
      <c r="L188" s="29"/>
      <c r="M188" s="174">
        <f>+I188*K188</f>
        <v>0.92793555555555585</v>
      </c>
      <c r="N188" s="29"/>
      <c r="O188" s="1240" t="str">
        <f>passengers!O193</f>
        <v xml:space="preserve">Note: 80% assumed to comprise spare parts, attracting 15% import duty and 10% VAT, while balance (20%) </v>
      </c>
      <c r="P188" s="771"/>
      <c r="Q188" s="771"/>
      <c r="R188" s="1222"/>
    </row>
    <row r="189" spans="1:18" ht="24" thickTop="1" thickBot="1">
      <c r="A189" s="46"/>
      <c r="B189" s="29"/>
      <c r="C189" s="29"/>
      <c r="D189" s="29"/>
      <c r="E189" s="29"/>
      <c r="F189" s="29"/>
      <c r="G189" s="29"/>
      <c r="H189" s="29"/>
      <c r="I189" s="33"/>
      <c r="J189" s="29"/>
      <c r="K189" s="176"/>
      <c r="L189" s="29"/>
      <c r="M189" s="177"/>
      <c r="N189" s="29"/>
      <c r="O189" s="1240" t="str">
        <f>passengers!O194</f>
        <v>attracts only VAT of 10%</v>
      </c>
      <c r="P189" s="771"/>
      <c r="Q189" s="771"/>
      <c r="R189" s="1222"/>
    </row>
    <row r="190" spans="1:18" ht="24" thickTop="1" thickBot="1">
      <c r="A190" s="265" t="s">
        <v>483</v>
      </c>
      <c r="B190" s="38" t="s">
        <v>77</v>
      </c>
      <c r="C190" s="29"/>
      <c r="D190" s="29"/>
      <c r="E190" s="29"/>
      <c r="F190" s="29"/>
      <c r="G190" s="29"/>
      <c r="H190" s="29"/>
      <c r="I190" s="1120">
        <f>sysdata!J103</f>
        <v>0.13530927835051548</v>
      </c>
      <c r="J190" s="46"/>
      <c r="K190" s="1119">
        <f>containers!K202</f>
        <v>0.84499999999999997</v>
      </c>
      <c r="L190" s="29"/>
      <c r="M190" s="174">
        <f>+I190*K190</f>
        <v>0.11433634020618558</v>
      </c>
      <c r="N190" s="29"/>
      <c r="O190" s="1240" t="str">
        <f>containers!O202</f>
        <v>Note: 50% assumed to comprise spare parts, attracting 15% import duty and VAT of 10%;</v>
      </c>
      <c r="P190" s="771"/>
      <c r="Q190" s="771"/>
      <c r="R190" s="1222"/>
    </row>
    <row r="191" spans="1:18" ht="24" thickTop="1" thickBot="1">
      <c r="A191" s="46"/>
      <c r="B191" s="29"/>
      <c r="C191" s="29"/>
      <c r="D191" s="29"/>
      <c r="E191" s="29"/>
      <c r="F191" s="29"/>
      <c r="G191" s="29"/>
      <c r="H191" s="29"/>
      <c r="I191" s="33"/>
      <c r="J191" s="29"/>
      <c r="K191" s="176"/>
      <c r="L191" s="29"/>
      <c r="M191" s="177"/>
      <c r="N191" s="29"/>
      <c r="O191" s="1240" t="str">
        <f>containers!O203</f>
        <v>remaining 50% attracts only VAT</v>
      </c>
      <c r="P191" s="771"/>
      <c r="Q191" s="771"/>
      <c r="R191" s="1222"/>
    </row>
    <row r="192" spans="1:18" ht="24" thickTop="1" thickBot="1">
      <c r="A192" s="265" t="s">
        <v>484</v>
      </c>
      <c r="B192" s="38" t="s">
        <v>471</v>
      </c>
      <c r="C192" s="29"/>
      <c r="D192" s="29"/>
      <c r="E192" s="29"/>
      <c r="F192" s="29"/>
      <c r="G192" s="29"/>
      <c r="H192" s="29"/>
      <c r="I192" s="1121">
        <f>sysdata!F53</f>
        <v>4.6651846939235042E-4</v>
      </c>
      <c r="J192" s="46"/>
      <c r="K192" s="1119">
        <f>containers!K204</f>
        <v>0.84499999999999997</v>
      </c>
      <c r="L192" s="29"/>
      <c r="M192" s="178">
        <f>+I192*K192</f>
        <v>3.9420810663653609E-4</v>
      </c>
      <c r="N192" s="29"/>
      <c r="O192" s="1240" t="str">
        <f>containers!O204</f>
        <v xml:space="preserve">Note: 50% assumed to comprise equipment and spare parts, attracting 15% import duty and </v>
      </c>
      <c r="P192" s="771"/>
      <c r="Q192" s="771"/>
      <c r="R192" s="1222"/>
    </row>
    <row r="193" spans="1:18" ht="24" thickTop="1" thickBot="1">
      <c r="A193" s="46"/>
      <c r="B193" s="29"/>
      <c r="C193" s="29"/>
      <c r="D193" s="29"/>
      <c r="E193" s="29"/>
      <c r="F193" s="29"/>
      <c r="G193" s="29"/>
      <c r="H193" s="29"/>
      <c r="I193" s="33"/>
      <c r="J193" s="29"/>
      <c r="K193" s="176"/>
      <c r="L193" s="29"/>
      <c r="M193" s="177"/>
      <c r="N193" s="29"/>
      <c r="O193" s="1240" t="str">
        <f>containers!O205</f>
        <v>10% VAT; remaining 50% attracts only VAT</v>
      </c>
      <c r="P193" s="771"/>
      <c r="Q193" s="771"/>
      <c r="R193" s="1222"/>
    </row>
    <row r="194" spans="1:18" ht="24" thickTop="1" thickBot="1">
      <c r="A194" s="265" t="s">
        <v>485</v>
      </c>
      <c r="B194" s="38" t="s">
        <v>767</v>
      </c>
      <c r="C194" s="29"/>
      <c r="D194" s="29"/>
      <c r="E194" s="29"/>
      <c r="F194" s="29"/>
      <c r="G194" s="29"/>
      <c r="H194" s="29"/>
      <c r="I194" s="1109">
        <f>sysdata!F52</f>
        <v>4901.333333333333</v>
      </c>
      <c r="J194" s="46"/>
      <c r="K194" s="1119">
        <f>containers!K206</f>
        <v>0.9</v>
      </c>
      <c r="L194" s="29"/>
      <c r="M194" s="179">
        <f>+I194*K194</f>
        <v>4411.2</v>
      </c>
      <c r="N194" s="29"/>
      <c r="O194" s="1240" t="s">
        <v>790</v>
      </c>
      <c r="P194" s="771"/>
      <c r="Q194" s="771"/>
      <c r="R194" s="1222"/>
    </row>
    <row r="195" spans="1:18" ht="24" thickTop="1" thickBot="1">
      <c r="A195" s="46"/>
      <c r="B195" s="29"/>
      <c r="C195" s="29"/>
      <c r="D195" s="29"/>
      <c r="E195" s="29"/>
      <c r="F195" s="29"/>
      <c r="G195" s="29"/>
      <c r="H195" s="29"/>
      <c r="I195" s="1008"/>
      <c r="J195" s="29"/>
      <c r="K195" s="176"/>
      <c r="L195" s="29"/>
      <c r="M195" s="177"/>
      <c r="N195" s="29"/>
      <c r="O195" s="771"/>
      <c r="P195" s="771"/>
      <c r="Q195" s="771"/>
      <c r="R195" s="1222"/>
    </row>
    <row r="196" spans="1:18" ht="24" thickTop="1" thickBot="1">
      <c r="A196" s="265" t="s">
        <v>486</v>
      </c>
      <c r="B196" s="38" t="s">
        <v>64</v>
      </c>
      <c r="C196" s="29"/>
      <c r="D196" s="29"/>
      <c r="E196" s="29"/>
      <c r="F196" s="29"/>
      <c r="G196" s="29"/>
      <c r="H196" s="29"/>
      <c r="I196" s="1109">
        <f>sysdata!I180</f>
        <v>2976</v>
      </c>
      <c r="J196" s="46"/>
      <c r="K196" s="1119">
        <f>containers!K208</f>
        <v>0.87227414330218067</v>
      </c>
      <c r="L196" s="29"/>
      <c r="M196" s="179">
        <f>+I196*K196</f>
        <v>2595.8878504672898</v>
      </c>
      <c r="N196" s="29"/>
      <c r="O196" s="1240" t="s">
        <v>715</v>
      </c>
      <c r="P196" s="771"/>
      <c r="Q196" s="771"/>
      <c r="R196" s="1222"/>
    </row>
    <row r="197" spans="1:18" ht="24" thickTop="1" thickBot="1">
      <c r="A197" s="46"/>
      <c r="B197" s="29"/>
      <c r="C197" s="29"/>
      <c r="D197" s="29"/>
      <c r="E197" s="29"/>
      <c r="F197" s="29"/>
      <c r="G197" s="29"/>
      <c r="H197" s="29"/>
      <c r="I197" s="33"/>
      <c r="J197" s="29"/>
      <c r="K197" s="176"/>
      <c r="L197" s="29"/>
      <c r="M197" s="177"/>
      <c r="N197" s="29"/>
      <c r="O197" s="1240" t="s">
        <v>716</v>
      </c>
      <c r="P197" s="771"/>
      <c r="Q197" s="771"/>
      <c r="R197" s="1222"/>
    </row>
    <row r="198" spans="1:18" ht="24" thickTop="1" thickBot="1">
      <c r="A198" s="265" t="s">
        <v>492</v>
      </c>
      <c r="B198" s="38" t="s">
        <v>475</v>
      </c>
      <c r="C198" s="29"/>
      <c r="D198" s="29"/>
      <c r="E198" s="29"/>
      <c r="F198" s="29"/>
      <c r="G198" s="29"/>
      <c r="H198" s="29"/>
      <c r="I198" s="1120">
        <f>sysdata!H227</f>
        <v>18.190904354212389</v>
      </c>
      <c r="J198" s="46"/>
      <c r="K198" s="1119">
        <f>containers!K210</f>
        <v>0.87781931464174467</v>
      </c>
      <c r="L198" s="29"/>
      <c r="M198" s="174">
        <f>+I198*K198</f>
        <v>15.968327192928248</v>
      </c>
      <c r="N198" s="29"/>
      <c r="O198" s="1240" t="s">
        <v>715</v>
      </c>
      <c r="P198" s="771"/>
      <c r="Q198" s="771"/>
      <c r="R198" s="1222"/>
    </row>
    <row r="199" spans="1:18" ht="24" thickTop="1" thickBot="1">
      <c r="A199" s="266"/>
      <c r="B199" s="38"/>
      <c r="C199" s="29"/>
      <c r="D199" s="29"/>
      <c r="E199" s="29"/>
      <c r="F199" s="29"/>
      <c r="G199" s="29"/>
      <c r="H199" s="29"/>
      <c r="I199" s="181"/>
      <c r="J199" s="91"/>
      <c r="K199" s="182"/>
      <c r="L199" s="29"/>
      <c r="M199" s="174"/>
      <c r="N199" s="29"/>
      <c r="O199" s="1240" t="s">
        <v>716</v>
      </c>
      <c r="P199" s="771"/>
      <c r="Q199" s="771"/>
      <c r="R199" s="1222"/>
    </row>
    <row r="200" spans="1:18" ht="24" thickTop="1" thickBot="1">
      <c r="A200" s="265" t="s">
        <v>494</v>
      </c>
      <c r="B200" s="38" t="s">
        <v>84</v>
      </c>
      <c r="C200" s="29"/>
      <c r="D200" s="29"/>
      <c r="E200" s="29"/>
      <c r="F200" s="29"/>
      <c r="G200" s="29"/>
      <c r="H200" s="29"/>
      <c r="I200" s="1122"/>
      <c r="J200" s="46"/>
      <c r="K200" s="1119">
        <f>containers!K212</f>
        <v>0.87227414330218067</v>
      </c>
      <c r="L200" s="29"/>
      <c r="M200" s="179">
        <f>+I200*K200</f>
        <v>0</v>
      </c>
      <c r="N200" s="29"/>
      <c r="O200" s="1240" t="s">
        <v>715</v>
      </c>
      <c r="P200" s="771"/>
      <c r="Q200" s="771"/>
      <c r="R200" s="1222"/>
    </row>
    <row r="201" spans="1:18" ht="24" thickTop="1" thickBot="1">
      <c r="A201" s="266"/>
      <c r="B201" s="38"/>
      <c r="C201" s="29"/>
      <c r="D201" s="29"/>
      <c r="E201" s="29"/>
      <c r="F201" s="29"/>
      <c r="G201" s="29"/>
      <c r="H201" s="29"/>
      <c r="I201" s="181"/>
      <c r="J201" s="91"/>
      <c r="K201" s="182"/>
      <c r="L201" s="29"/>
      <c r="M201" s="174"/>
      <c r="N201" s="29"/>
      <c r="O201" s="1240" t="s">
        <v>716</v>
      </c>
      <c r="P201" s="771"/>
      <c r="Q201" s="771"/>
      <c r="R201" s="1222"/>
    </row>
    <row r="202" spans="1:18" ht="23.4" thickTop="1">
      <c r="A202" s="1098" t="s">
        <v>200</v>
      </c>
      <c r="B202" s="1099"/>
      <c r="C202" s="1099"/>
      <c r="D202" s="1099"/>
      <c r="E202" s="1099"/>
      <c r="F202" s="1099"/>
      <c r="G202" s="1099"/>
      <c r="H202" s="1099"/>
      <c r="I202" s="1100"/>
      <c r="J202" s="1101"/>
      <c r="K202" s="1102"/>
      <c r="L202" s="1102"/>
      <c r="M202" s="1102"/>
      <c r="N202" s="1102"/>
      <c r="O202" s="1102"/>
      <c r="P202" s="1102"/>
      <c r="Q202" s="1102"/>
      <c r="R202" s="1103"/>
    </row>
    <row r="203" spans="1:18">
      <c r="A203" s="26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25"/>
    </row>
    <row r="204" spans="1:18" ht="22.8">
      <c r="A204" s="263" t="s">
        <v>459</v>
      </c>
      <c r="B204" s="34" t="s">
        <v>158</v>
      </c>
      <c r="C204" s="29"/>
      <c r="D204" s="29"/>
      <c r="E204" s="29"/>
      <c r="F204" s="29"/>
      <c r="G204" s="29"/>
      <c r="H204" s="29"/>
      <c r="I204" s="36"/>
      <c r="J204" s="29"/>
      <c r="K204" s="29"/>
      <c r="L204" s="29"/>
      <c r="M204" s="29"/>
      <c r="N204" s="29"/>
      <c r="O204" s="29"/>
      <c r="P204" s="29"/>
      <c r="Q204" s="29"/>
      <c r="R204" s="225"/>
    </row>
    <row r="205" spans="1:18" ht="22.8">
      <c r="A205" s="263"/>
      <c r="B205" s="34"/>
      <c r="C205" s="29"/>
      <c r="D205" s="29"/>
      <c r="E205" s="29"/>
      <c r="F205" s="29"/>
      <c r="G205" s="29"/>
      <c r="H205" s="29"/>
      <c r="I205" s="36"/>
      <c r="J205" s="29"/>
      <c r="K205" s="29"/>
      <c r="L205" s="29"/>
      <c r="M205" s="29"/>
      <c r="N205" s="29"/>
      <c r="O205" s="29"/>
      <c r="P205" s="29"/>
      <c r="Q205" s="29"/>
      <c r="R205" s="225"/>
    </row>
    <row r="206" spans="1:18" ht="22.8">
      <c r="A206" s="270" t="s">
        <v>527</v>
      </c>
      <c r="B206" s="88" t="s">
        <v>531</v>
      </c>
      <c r="C206" s="29"/>
      <c r="D206" s="29"/>
      <c r="E206" s="29"/>
      <c r="F206" s="29"/>
      <c r="G206" s="29"/>
      <c r="H206" s="29"/>
      <c r="I206" s="89"/>
      <c r="J206" s="29"/>
      <c r="K206" s="29"/>
      <c r="L206" s="29"/>
      <c r="M206" s="89"/>
      <c r="N206" s="29"/>
      <c r="O206" s="29"/>
      <c r="P206" s="29"/>
      <c r="Q206" s="29"/>
      <c r="R206" s="225"/>
    </row>
    <row r="207" spans="1:18" ht="22.8">
      <c r="A207" s="264"/>
      <c r="B207" s="87"/>
      <c r="C207" s="29"/>
      <c r="D207" s="29"/>
      <c r="E207" s="29"/>
      <c r="F207" s="29"/>
      <c r="G207" s="29"/>
      <c r="H207" s="29"/>
      <c r="I207" s="89"/>
      <c r="J207" s="29"/>
      <c r="K207" s="29"/>
      <c r="L207" s="29"/>
      <c r="M207" s="89"/>
      <c r="N207" s="29"/>
      <c r="O207" s="29"/>
      <c r="P207" s="29"/>
      <c r="Q207" s="29"/>
      <c r="R207" s="225"/>
    </row>
    <row r="208" spans="1:18" ht="22.8">
      <c r="A208" s="264" t="s">
        <v>528</v>
      </c>
      <c r="B208" s="88" t="s">
        <v>529</v>
      </c>
      <c r="C208" s="29"/>
      <c r="D208" s="29"/>
      <c r="E208" s="29"/>
      <c r="F208" s="29"/>
      <c r="G208" s="29"/>
      <c r="H208" s="29"/>
      <c r="I208" s="89"/>
      <c r="J208" s="29"/>
      <c r="K208" s="29"/>
      <c r="L208" s="29"/>
      <c r="M208" s="89"/>
      <c r="N208" s="29"/>
      <c r="O208" s="29"/>
      <c r="P208" s="29"/>
      <c r="Q208" s="29"/>
      <c r="R208" s="225"/>
    </row>
    <row r="209" spans="1:18" ht="22.8">
      <c r="A209" s="264"/>
      <c r="B209" s="87"/>
      <c r="C209" s="29"/>
      <c r="D209" s="29"/>
      <c r="E209" s="29"/>
      <c r="F209" s="29"/>
      <c r="G209" s="29"/>
      <c r="H209" s="29"/>
      <c r="I209" s="89"/>
      <c r="J209" s="29"/>
      <c r="K209" s="29"/>
      <c r="L209" s="29"/>
      <c r="M209" s="89"/>
      <c r="N209" s="29"/>
      <c r="O209" s="29"/>
      <c r="P209" s="29"/>
      <c r="Q209" s="29"/>
      <c r="R209" s="225"/>
    </row>
    <row r="210" spans="1:18" ht="22.8">
      <c r="A210" s="264" t="s">
        <v>497</v>
      </c>
      <c r="B210" s="88" t="s">
        <v>96</v>
      </c>
      <c r="C210" s="29"/>
      <c r="D210" s="29"/>
      <c r="E210" s="29"/>
      <c r="F210" s="29"/>
      <c r="G210" s="29"/>
      <c r="H210" s="29"/>
      <c r="I210" s="89"/>
      <c r="J210" s="29"/>
      <c r="K210" s="29"/>
      <c r="L210" s="29"/>
      <c r="M210" s="89"/>
      <c r="N210" s="29"/>
      <c r="O210" s="776" t="s">
        <v>348</v>
      </c>
      <c r="P210" s="29"/>
      <c r="Q210" s="29"/>
      <c r="R210" s="225"/>
    </row>
    <row r="211" spans="1:18" ht="23.4" thickBot="1">
      <c r="A211" s="270"/>
      <c r="B211" s="87"/>
      <c r="C211" s="29"/>
      <c r="D211" s="29"/>
      <c r="E211" s="29"/>
      <c r="F211" s="29"/>
      <c r="G211" s="29"/>
      <c r="H211" s="29"/>
      <c r="I211" s="89"/>
      <c r="J211" s="29"/>
      <c r="K211" s="29"/>
      <c r="L211" s="29"/>
      <c r="M211" s="89"/>
      <c r="N211" s="29"/>
      <c r="O211" s="997"/>
      <c r="P211" s="29"/>
      <c r="Q211" s="29"/>
      <c r="R211" s="225"/>
    </row>
    <row r="212" spans="1:18" ht="24" thickTop="1" thickBot="1">
      <c r="A212" s="264" t="s">
        <v>244</v>
      </c>
      <c r="B212" s="87" t="s">
        <v>90</v>
      </c>
      <c r="C212" s="29"/>
      <c r="D212" s="29"/>
      <c r="E212" s="29"/>
      <c r="F212" s="29"/>
      <c r="G212" s="29"/>
      <c r="H212" s="29"/>
      <c r="I212" s="1123">
        <f>sysdata!I189*1000000</f>
        <v>2216389712</v>
      </c>
      <c r="J212" s="29"/>
      <c r="K212" s="1124">
        <f>containers!K228</f>
        <v>0.88000000000000012</v>
      </c>
      <c r="L212" s="29"/>
      <c r="M212" s="888">
        <f>+I212*K212</f>
        <v>1950422946.5600002</v>
      </c>
      <c r="N212" s="29"/>
      <c r="O212" s="1001" t="s">
        <v>777</v>
      </c>
      <c r="P212" s="29"/>
      <c r="Q212" s="29"/>
      <c r="R212" s="225"/>
    </row>
    <row r="213" spans="1:18" ht="23.4" thickTop="1">
      <c r="A213" s="270"/>
      <c r="B213" s="186" t="s">
        <v>92</v>
      </c>
      <c r="C213" s="187"/>
      <c r="D213" s="187"/>
      <c r="E213" s="187"/>
      <c r="F213" s="187"/>
      <c r="G213" s="187"/>
      <c r="H213" s="187"/>
      <c r="I213" s="89"/>
      <c r="J213" s="29"/>
      <c r="K213" s="29"/>
      <c r="L213" s="29"/>
      <c r="M213" s="89"/>
      <c r="N213" s="29"/>
      <c r="O213" s="1001" t="s">
        <v>776</v>
      </c>
      <c r="P213" s="29"/>
      <c r="Q213" s="29"/>
      <c r="R213" s="225"/>
    </row>
    <row r="214" spans="1:18" ht="22.8">
      <c r="A214" s="264"/>
      <c r="B214" s="188" t="s">
        <v>245</v>
      </c>
      <c r="C214" s="58"/>
      <c r="D214" s="58"/>
      <c r="E214" s="189"/>
      <c r="F214" s="190"/>
      <c r="G214" s="191"/>
      <c r="H214" s="189"/>
      <c r="I214" s="30"/>
      <c r="J214" s="29"/>
      <c r="K214" s="30"/>
      <c r="L214" s="29"/>
      <c r="M214" s="30"/>
      <c r="N214" s="30"/>
      <c r="O214" s="1004"/>
      <c r="P214" s="30"/>
      <c r="Q214" s="29"/>
      <c r="R214" s="225"/>
    </row>
    <row r="215" spans="1:18" ht="22.8">
      <c r="A215" s="270"/>
      <c r="B215" s="186" t="s">
        <v>93</v>
      </c>
      <c r="C215" s="187"/>
      <c r="D215" s="187"/>
      <c r="E215" s="187"/>
      <c r="F215" s="187"/>
      <c r="G215" s="187"/>
      <c r="H215" s="187"/>
      <c r="I215" s="89"/>
      <c r="J215" s="29"/>
      <c r="K215" s="29"/>
      <c r="L215" s="29"/>
      <c r="M215" s="89"/>
      <c r="N215" s="29"/>
      <c r="O215" s="997"/>
      <c r="P215" s="29"/>
      <c r="Q215" s="29"/>
      <c r="R215" s="225"/>
    </row>
    <row r="216" spans="1:18" ht="23.4" thickBot="1">
      <c r="A216" s="270"/>
      <c r="B216" s="87"/>
      <c r="C216" s="29"/>
      <c r="D216" s="29"/>
      <c r="E216" s="29"/>
      <c r="F216" s="29"/>
      <c r="G216" s="29"/>
      <c r="H216" s="29"/>
      <c r="I216" s="89"/>
      <c r="J216" s="29"/>
      <c r="K216" s="29"/>
      <c r="L216" s="29"/>
      <c r="M216" s="89"/>
      <c r="N216" s="29"/>
      <c r="O216" s="997"/>
      <c r="P216" s="29"/>
      <c r="Q216" s="29"/>
      <c r="R216" s="225"/>
    </row>
    <row r="217" spans="1:18" ht="24" thickTop="1" thickBot="1">
      <c r="A217" s="264" t="s">
        <v>246</v>
      </c>
      <c r="B217" s="87" t="s">
        <v>304</v>
      </c>
      <c r="C217" s="29"/>
      <c r="D217" s="29"/>
      <c r="E217" s="29"/>
      <c r="F217" s="29"/>
      <c r="G217" s="29"/>
      <c r="H217" s="29"/>
      <c r="I217" s="1125">
        <f>I212*M100</f>
        <v>417706174.1760515</v>
      </c>
      <c r="J217" s="29"/>
      <c r="K217" s="29"/>
      <c r="L217" s="29"/>
      <c r="M217" s="929">
        <f>M212*M100</f>
        <v>367581433.27492535</v>
      </c>
      <c r="N217" s="29"/>
      <c r="O217" s="1001" t="s">
        <v>777</v>
      </c>
      <c r="P217" s="29"/>
      <c r="Q217" s="29"/>
      <c r="R217" s="225"/>
    </row>
    <row r="218" spans="1:18" ht="24" thickTop="1" thickBot="1">
      <c r="A218" s="270"/>
      <c r="B218" s="87"/>
      <c r="C218" s="29"/>
      <c r="D218" s="29"/>
      <c r="E218" s="29"/>
      <c r="F218" s="29"/>
      <c r="G218" s="29"/>
      <c r="H218" s="29"/>
      <c r="I218" s="89"/>
      <c r="J218" s="29"/>
      <c r="K218" s="29"/>
      <c r="L218" s="29"/>
      <c r="M218" s="89"/>
      <c r="N218" s="29"/>
      <c r="O218" s="1001" t="s">
        <v>776</v>
      </c>
      <c r="P218" s="29"/>
      <c r="Q218" s="29"/>
      <c r="R218" s="225"/>
    </row>
    <row r="219" spans="1:18" ht="24" thickTop="1" thickBot="1">
      <c r="A219" s="265" t="s">
        <v>247</v>
      </c>
      <c r="B219" s="38" t="s">
        <v>94</v>
      </c>
      <c r="C219" s="29"/>
      <c r="D219" s="29"/>
      <c r="E219" s="29"/>
      <c r="F219" s="29"/>
      <c r="G219" s="29"/>
      <c r="H219" s="29"/>
      <c r="I219" s="1122">
        <v>50</v>
      </c>
      <c r="J219" s="29"/>
      <c r="K219" s="29"/>
      <c r="L219" s="29"/>
      <c r="M219" s="179">
        <f>+I219</f>
        <v>50</v>
      </c>
      <c r="N219" s="29"/>
      <c r="O219" s="1001" t="s">
        <v>711</v>
      </c>
      <c r="P219" s="29"/>
      <c r="Q219" s="29"/>
      <c r="R219" s="225"/>
    </row>
    <row r="220" spans="1:18" ht="24" thickTop="1" thickBot="1">
      <c r="A220" s="46"/>
      <c r="B220" s="29"/>
      <c r="C220" s="29"/>
      <c r="D220" s="29"/>
      <c r="E220" s="29"/>
      <c r="F220" s="29"/>
      <c r="G220" s="29"/>
      <c r="H220" s="29"/>
      <c r="I220" s="33"/>
      <c r="J220" s="29"/>
      <c r="K220" s="29"/>
      <c r="L220" s="29"/>
      <c r="M220" s="89"/>
      <c r="N220" s="29"/>
      <c r="O220" s="997"/>
      <c r="P220" s="29"/>
      <c r="Q220" s="29"/>
      <c r="R220" s="225"/>
    </row>
    <row r="221" spans="1:18" ht="24" thickTop="1" thickBot="1">
      <c r="A221" s="265" t="s">
        <v>248</v>
      </c>
      <c r="B221" s="38" t="s">
        <v>95</v>
      </c>
      <c r="C221" s="29"/>
      <c r="D221" s="29"/>
      <c r="E221" s="29"/>
      <c r="F221" s="29"/>
      <c r="G221" s="29"/>
      <c r="H221" s="29"/>
      <c r="I221" s="1112">
        <v>0.1</v>
      </c>
      <c r="J221" s="29"/>
      <c r="K221" s="29"/>
      <c r="L221" s="29"/>
      <c r="M221" s="192">
        <f>+I221</f>
        <v>0.1</v>
      </c>
      <c r="N221" s="29"/>
      <c r="O221" s="1001" t="s">
        <v>712</v>
      </c>
      <c r="P221" s="29"/>
      <c r="Q221" s="29"/>
      <c r="R221" s="225"/>
    </row>
    <row r="222" spans="1:18" ht="24" thickTop="1" thickBot="1">
      <c r="A222" s="265"/>
      <c r="B222" s="38"/>
      <c r="C222" s="29"/>
      <c r="D222" s="29"/>
      <c r="E222" s="29"/>
      <c r="F222" s="29"/>
      <c r="G222" s="29"/>
      <c r="H222" s="29"/>
      <c r="I222" s="1224"/>
      <c r="J222" s="29"/>
      <c r="K222" s="29"/>
      <c r="L222" s="29"/>
      <c r="M222" s="192"/>
      <c r="N222" s="29"/>
      <c r="O222" s="1001"/>
      <c r="P222" s="29"/>
      <c r="Q222" s="29"/>
      <c r="R222" s="225"/>
    </row>
    <row r="223" spans="1:18" ht="24" thickTop="1" thickBot="1">
      <c r="A223" s="265" t="s">
        <v>929</v>
      </c>
      <c r="B223" s="38" t="s">
        <v>921</v>
      </c>
      <c r="C223" s="29"/>
      <c r="D223" s="29"/>
      <c r="E223" s="29"/>
      <c r="F223" s="29"/>
      <c r="G223" s="29"/>
      <c r="H223" s="29"/>
      <c r="I223" s="1510">
        <v>2.8500000000000001E-2</v>
      </c>
      <c r="J223" s="29"/>
      <c r="K223" s="29"/>
      <c r="L223" s="29"/>
      <c r="M223" s="192"/>
      <c r="N223" s="29"/>
      <c r="O223" s="1001"/>
      <c r="P223" s="29"/>
      <c r="Q223" s="29"/>
      <c r="R223" s="225"/>
    </row>
    <row r="224" spans="1:18" ht="23.4" thickTop="1">
      <c r="A224" s="270"/>
      <c r="B224" s="87"/>
      <c r="C224" s="29"/>
      <c r="D224" s="29"/>
      <c r="E224" s="29"/>
      <c r="F224" s="29"/>
      <c r="G224" s="29"/>
      <c r="H224" s="90"/>
      <c r="I224" s="89"/>
      <c r="J224" s="29"/>
      <c r="K224" s="29"/>
      <c r="L224" s="29"/>
      <c r="M224" s="177"/>
      <c r="N224" s="29"/>
      <c r="O224" s="997"/>
      <c r="P224" s="29"/>
      <c r="Q224" s="29"/>
      <c r="R224" s="225"/>
    </row>
    <row r="225" spans="1:18" ht="22.8">
      <c r="A225" s="264" t="s">
        <v>499</v>
      </c>
      <c r="B225" s="88" t="s">
        <v>97</v>
      </c>
      <c r="C225" s="29"/>
      <c r="D225" s="29"/>
      <c r="E225" s="29"/>
      <c r="F225" s="29"/>
      <c r="G225" s="29"/>
      <c r="H225" s="29"/>
      <c r="I225" s="89"/>
      <c r="J225" s="29"/>
      <c r="K225" s="29"/>
      <c r="L225" s="29"/>
      <c r="M225" s="177"/>
      <c r="N225" s="29"/>
      <c r="O225" s="997"/>
      <c r="P225" s="29"/>
      <c r="Q225" s="29"/>
      <c r="R225" s="225"/>
    </row>
    <row r="226" spans="1:18" ht="23.4" thickBot="1">
      <c r="A226" s="270"/>
      <c r="B226" s="87"/>
      <c r="C226" s="29"/>
      <c r="D226" s="29"/>
      <c r="E226" s="29"/>
      <c r="F226" s="29"/>
      <c r="G226" s="29"/>
      <c r="H226" s="29"/>
      <c r="I226" s="89"/>
      <c r="J226" s="29"/>
      <c r="K226" s="29"/>
      <c r="L226" s="29"/>
      <c r="M226" s="177"/>
      <c r="N226" s="29"/>
      <c r="O226" s="997"/>
      <c r="P226" s="29"/>
      <c r="Q226" s="29"/>
      <c r="R226" s="225"/>
    </row>
    <row r="227" spans="1:18" ht="24" thickTop="1" thickBot="1">
      <c r="A227" s="264" t="s">
        <v>249</v>
      </c>
      <c r="B227" s="439" t="s">
        <v>784</v>
      </c>
      <c r="C227" s="29"/>
      <c r="D227" s="29"/>
      <c r="E227" s="29"/>
      <c r="F227" s="29"/>
      <c r="G227" s="29"/>
      <c r="H227" s="29"/>
      <c r="I227" s="1125">
        <f>sysdata!E198*1000000</f>
        <v>56000000</v>
      </c>
      <c r="J227" s="29"/>
      <c r="K227" s="1119">
        <f>containers!K243</f>
        <v>0.9</v>
      </c>
      <c r="L227" s="29"/>
      <c r="M227" s="888">
        <f>+I227*K227</f>
        <v>50400000</v>
      </c>
      <c r="N227" s="29"/>
      <c r="O227" s="1001" t="s">
        <v>713</v>
      </c>
      <c r="P227" s="29"/>
      <c r="Q227" s="29"/>
      <c r="R227" s="225"/>
    </row>
    <row r="228" spans="1:18" ht="24" thickTop="1" thickBot="1">
      <c r="A228" s="270"/>
      <c r="B228" s="87"/>
      <c r="C228" s="29"/>
      <c r="D228" s="29"/>
      <c r="E228" s="29"/>
      <c r="F228" s="29"/>
      <c r="G228" s="29"/>
      <c r="H228" s="29"/>
      <c r="I228" s="901"/>
      <c r="J228" s="29"/>
      <c r="K228" s="29"/>
      <c r="L228" s="29"/>
      <c r="M228" s="177"/>
      <c r="N228" s="29"/>
      <c r="O228" s="29"/>
      <c r="P228" s="29"/>
      <c r="Q228" s="29"/>
      <c r="R228" s="225"/>
    </row>
    <row r="229" spans="1:18" ht="24" thickTop="1" thickBot="1">
      <c r="A229" s="264" t="s">
        <v>250</v>
      </c>
      <c r="B229" s="87" t="s">
        <v>276</v>
      </c>
      <c r="C229" s="29"/>
      <c r="D229" s="29"/>
      <c r="E229" s="29"/>
      <c r="F229" s="29"/>
      <c r="G229" s="29"/>
      <c r="H229" s="29"/>
      <c r="I229" s="1125">
        <f>M100*I227</f>
        <v>10553895.656170996</v>
      </c>
      <c r="J229" s="29"/>
      <c r="K229" s="29"/>
      <c r="L229" s="29"/>
      <c r="M229" s="1014">
        <f>+M100*M227</f>
        <v>9498506.0905538965</v>
      </c>
      <c r="N229" s="29"/>
      <c r="O229" s="29"/>
      <c r="P229" s="29"/>
      <c r="Q229" s="29"/>
      <c r="R229" s="225"/>
    </row>
    <row r="230" spans="1:18" ht="24" thickTop="1" thickBot="1">
      <c r="A230" s="270"/>
      <c r="B230" s="87"/>
      <c r="C230" s="29"/>
      <c r="D230" s="29"/>
      <c r="E230" s="29"/>
      <c r="F230" s="29"/>
      <c r="G230" s="29"/>
      <c r="H230" s="29"/>
      <c r="I230" s="89"/>
      <c r="J230" s="29"/>
      <c r="K230" s="29"/>
      <c r="L230" s="29"/>
      <c r="M230" s="177"/>
      <c r="N230" s="29"/>
      <c r="O230" s="29"/>
      <c r="P230" s="29"/>
      <c r="Q230" s="29"/>
      <c r="R230" s="225"/>
    </row>
    <row r="231" spans="1:18" ht="24" thickTop="1" thickBot="1">
      <c r="A231" s="264" t="s">
        <v>251</v>
      </c>
      <c r="B231" s="87" t="s">
        <v>98</v>
      </c>
      <c r="C231" s="29"/>
      <c r="D231" s="29"/>
      <c r="E231" s="29"/>
      <c r="F231" s="29"/>
      <c r="G231" s="29"/>
      <c r="H231" s="29"/>
      <c r="I231" s="1122">
        <v>30</v>
      </c>
      <c r="J231" s="29"/>
      <c r="K231" s="29"/>
      <c r="L231" s="29"/>
      <c r="M231" s="193">
        <f>+I231</f>
        <v>30</v>
      </c>
      <c r="N231" s="29"/>
      <c r="O231" s="29"/>
      <c r="P231" s="29"/>
      <c r="Q231" s="29"/>
      <c r="R231" s="225"/>
    </row>
    <row r="232" spans="1:18" ht="24" thickTop="1" thickBot="1">
      <c r="A232" s="270"/>
      <c r="B232" s="87"/>
      <c r="C232" s="29"/>
      <c r="D232" s="29"/>
      <c r="E232" s="29"/>
      <c r="F232" s="29"/>
      <c r="G232" s="29"/>
      <c r="H232" s="29"/>
      <c r="I232" s="89"/>
      <c r="J232" s="29"/>
      <c r="K232" s="29"/>
      <c r="L232" s="29"/>
      <c r="M232" s="177"/>
      <c r="N232" s="29"/>
      <c r="O232" s="29"/>
      <c r="P232" s="29"/>
      <c r="Q232" s="29"/>
      <c r="R232" s="225"/>
    </row>
    <row r="233" spans="1:18" ht="24" thickTop="1" thickBot="1">
      <c r="A233" s="264" t="s">
        <v>252</v>
      </c>
      <c r="B233" s="87" t="s">
        <v>99</v>
      </c>
      <c r="C233" s="29"/>
      <c r="D233" s="29"/>
      <c r="E233" s="29"/>
      <c r="F233" s="29"/>
      <c r="G233" s="29"/>
      <c r="H233" s="29"/>
      <c r="I233" s="1112">
        <v>0.25</v>
      </c>
      <c r="J233" s="29"/>
      <c r="K233" s="29"/>
      <c r="L233" s="29"/>
      <c r="M233" s="194">
        <f>+I233</f>
        <v>0.25</v>
      </c>
      <c r="N233" s="29"/>
      <c r="O233" s="29"/>
      <c r="P233" s="29"/>
      <c r="Q233" s="29"/>
      <c r="R233" s="225"/>
    </row>
    <row r="234" spans="1:18" ht="23.4" thickTop="1">
      <c r="A234" s="264"/>
      <c r="B234" s="87"/>
      <c r="C234" s="29"/>
      <c r="D234" s="29"/>
      <c r="E234" s="29"/>
      <c r="F234" s="29"/>
      <c r="G234" s="29"/>
      <c r="H234" s="29"/>
      <c r="I234" s="1224"/>
      <c r="J234" s="29"/>
      <c r="K234" s="29"/>
      <c r="L234" s="29"/>
      <c r="M234" s="194"/>
      <c r="N234" s="29"/>
      <c r="O234" s="29"/>
      <c r="P234" s="29"/>
      <c r="Q234" s="29"/>
      <c r="R234" s="225"/>
    </row>
    <row r="235" spans="1:18" ht="22.8">
      <c r="A235" s="768" t="s">
        <v>930</v>
      </c>
      <c r="B235" s="38" t="s">
        <v>921</v>
      </c>
      <c r="C235" s="29"/>
      <c r="D235" s="29"/>
      <c r="E235" s="29"/>
      <c r="F235" s="29"/>
      <c r="G235" s="29"/>
      <c r="H235" s="29"/>
      <c r="I235" s="1511">
        <f>+I223</f>
        <v>2.8500000000000001E-2</v>
      </c>
      <c r="J235" s="29"/>
      <c r="K235" s="29"/>
      <c r="L235" s="29"/>
      <c r="M235" s="194"/>
      <c r="N235" s="29"/>
      <c r="O235" s="29"/>
      <c r="P235" s="29"/>
      <c r="Q235" s="29"/>
      <c r="R235" s="225"/>
    </row>
    <row r="236" spans="1:18" ht="22.8">
      <c r="A236" s="270"/>
      <c r="B236" s="87"/>
      <c r="C236" s="29"/>
      <c r="D236" s="29"/>
      <c r="E236" s="29"/>
      <c r="F236" s="29"/>
      <c r="G236" s="29"/>
      <c r="H236" s="29"/>
      <c r="I236" s="89"/>
      <c r="J236" s="29"/>
      <c r="K236" s="29"/>
      <c r="L236" s="29"/>
      <c r="M236" s="177"/>
      <c r="N236" s="29"/>
      <c r="O236" s="29"/>
      <c r="P236" s="29"/>
      <c r="Q236" s="29"/>
      <c r="R236" s="225"/>
    </row>
    <row r="237" spans="1:18" ht="22.8">
      <c r="A237" s="270" t="s">
        <v>532</v>
      </c>
      <c r="B237" s="88" t="s">
        <v>517</v>
      </c>
      <c r="C237" s="29"/>
      <c r="D237" s="29"/>
      <c r="E237" s="29"/>
      <c r="F237" s="29"/>
      <c r="G237" s="29"/>
      <c r="H237" s="29"/>
      <c r="I237" s="89"/>
      <c r="J237" s="29"/>
      <c r="K237" s="29"/>
      <c r="L237" s="29"/>
      <c r="M237" s="177"/>
      <c r="N237" s="29"/>
      <c r="O237" s="29"/>
      <c r="P237" s="29"/>
      <c r="Q237" s="29"/>
      <c r="R237" s="225"/>
    </row>
    <row r="238" spans="1:18" ht="23.4" thickBot="1">
      <c r="A238" s="270"/>
      <c r="B238" s="87"/>
      <c r="C238" s="29"/>
      <c r="D238" s="29"/>
      <c r="E238" s="29"/>
      <c r="F238" s="29"/>
      <c r="G238" s="29"/>
      <c r="H238" s="29"/>
      <c r="I238" s="89"/>
      <c r="J238" s="29"/>
      <c r="K238" s="29"/>
      <c r="L238" s="29"/>
      <c r="M238" s="177"/>
      <c r="N238" s="29"/>
      <c r="O238" s="29"/>
      <c r="P238" s="29"/>
      <c r="Q238" s="29"/>
      <c r="R238" s="225"/>
    </row>
    <row r="239" spans="1:18" ht="24" thickTop="1" thickBot="1">
      <c r="A239" s="265" t="s">
        <v>501</v>
      </c>
      <c r="B239" s="38" t="s">
        <v>182</v>
      </c>
      <c r="C239" s="29"/>
      <c r="D239" s="29"/>
      <c r="E239" s="29"/>
      <c r="F239" s="29"/>
      <c r="G239" s="29"/>
      <c r="H239" s="29"/>
      <c r="I239" s="1109">
        <f>sysdata!I67*1000000</f>
        <v>3000000</v>
      </c>
      <c r="J239" s="46"/>
      <c r="K239" s="1119">
        <f>containers!K255</f>
        <v>0.79</v>
      </c>
      <c r="L239" s="29"/>
      <c r="M239" s="888">
        <f>+I239*K239</f>
        <v>2370000</v>
      </c>
      <c r="N239" s="29"/>
      <c r="O239" s="774" t="s">
        <v>714</v>
      </c>
      <c r="P239" s="29"/>
      <c r="Q239" s="29"/>
      <c r="R239" s="225"/>
    </row>
    <row r="240" spans="1:18" ht="24" thickTop="1" thickBot="1">
      <c r="A240" s="46"/>
      <c r="B240" s="29"/>
      <c r="C240" s="29"/>
      <c r="D240" s="29"/>
      <c r="E240" s="29"/>
      <c r="F240" s="29"/>
      <c r="G240" s="29"/>
      <c r="H240" s="29"/>
      <c r="I240" s="33"/>
      <c r="J240" s="29"/>
      <c r="K240" s="29"/>
      <c r="L240" s="29"/>
      <c r="M240" s="177"/>
      <c r="N240" s="29"/>
      <c r="O240" s="29"/>
      <c r="P240" s="29"/>
      <c r="Q240" s="29"/>
      <c r="R240" s="225"/>
    </row>
    <row r="241" spans="1:18" ht="24" thickTop="1" thickBot="1">
      <c r="A241" s="264" t="s">
        <v>503</v>
      </c>
      <c r="B241" s="87" t="s">
        <v>183</v>
      </c>
      <c r="C241" s="29"/>
      <c r="D241" s="29"/>
      <c r="E241" s="29"/>
      <c r="F241" s="29"/>
      <c r="G241" s="29"/>
      <c r="H241" s="29"/>
      <c r="I241" s="1126">
        <v>25</v>
      </c>
      <c r="J241" s="29"/>
      <c r="K241" s="29"/>
      <c r="L241" s="29"/>
      <c r="M241" s="155">
        <f>+I241</f>
        <v>25</v>
      </c>
      <c r="N241" s="29"/>
      <c r="O241" s="769"/>
      <c r="P241" s="29"/>
      <c r="Q241" s="29"/>
      <c r="R241" s="225"/>
    </row>
    <row r="242" spans="1:18" ht="24" thickTop="1" thickBot="1">
      <c r="A242" s="46"/>
      <c r="B242" s="29"/>
      <c r="C242" s="29"/>
      <c r="D242" s="29"/>
      <c r="E242" s="29"/>
      <c r="F242" s="29"/>
      <c r="G242" s="29"/>
      <c r="H242" s="29"/>
      <c r="I242" s="33"/>
      <c r="J242" s="29"/>
      <c r="K242" s="29"/>
      <c r="L242" s="29"/>
      <c r="M242" s="177"/>
      <c r="N242" s="29"/>
      <c r="O242" s="29"/>
      <c r="P242" s="29"/>
      <c r="Q242" s="29"/>
      <c r="R242" s="225"/>
    </row>
    <row r="243" spans="1:18" ht="24" thickTop="1" thickBot="1">
      <c r="A243" s="265" t="s">
        <v>504</v>
      </c>
      <c r="B243" s="38" t="s">
        <v>184</v>
      </c>
      <c r="C243" s="29"/>
      <c r="D243" s="29"/>
      <c r="E243" s="29"/>
      <c r="F243" s="29"/>
      <c r="G243" s="29"/>
      <c r="H243" s="29"/>
      <c r="I243" s="1112">
        <v>0.25</v>
      </c>
      <c r="J243" s="29"/>
      <c r="K243" s="29"/>
      <c r="L243" s="29"/>
      <c r="M243" s="192">
        <f>+I243</f>
        <v>0.25</v>
      </c>
      <c r="N243" s="29"/>
      <c r="O243" s="29"/>
      <c r="P243" s="29"/>
      <c r="Q243" s="29"/>
      <c r="R243" s="225"/>
    </row>
    <row r="244" spans="1:18" ht="24" thickTop="1" thickBot="1">
      <c r="A244" s="46"/>
      <c r="B244" s="29"/>
      <c r="C244" s="29"/>
      <c r="D244" s="29"/>
      <c r="E244" s="29"/>
      <c r="F244" s="29"/>
      <c r="G244" s="29"/>
      <c r="H244" s="29"/>
      <c r="I244" s="33"/>
      <c r="J244" s="29"/>
      <c r="K244" s="29"/>
      <c r="L244" s="29"/>
      <c r="M244" s="177"/>
      <c r="N244" s="29"/>
      <c r="O244" s="29"/>
      <c r="P244" s="29"/>
      <c r="Q244" s="29"/>
      <c r="R244" s="225"/>
    </row>
    <row r="245" spans="1:18" ht="24" thickTop="1" thickBot="1">
      <c r="A245" s="767" t="s">
        <v>145</v>
      </c>
      <c r="B245" s="439" t="s">
        <v>924</v>
      </c>
      <c r="C245" s="29"/>
      <c r="D245" s="29"/>
      <c r="E245" s="29"/>
      <c r="F245" s="29"/>
      <c r="G245" s="29"/>
      <c r="H245" s="29"/>
      <c r="I245" s="1112">
        <v>7.0000000000000007E-2</v>
      </c>
      <c r="J245" s="29"/>
      <c r="K245" s="29"/>
      <c r="L245" s="29"/>
      <c r="M245" s="177"/>
      <c r="N245" s="29"/>
      <c r="O245" s="29"/>
      <c r="P245" s="29"/>
      <c r="Q245" s="29"/>
      <c r="R245" s="225"/>
    </row>
    <row r="246" spans="1:18" ht="24" thickTop="1" thickBot="1">
      <c r="A246" s="46"/>
      <c r="B246" s="29"/>
      <c r="C246" s="29"/>
      <c r="D246" s="29"/>
      <c r="E246" s="29"/>
      <c r="F246" s="29"/>
      <c r="G246" s="29"/>
      <c r="H246" s="29"/>
      <c r="I246" s="33"/>
      <c r="J246" s="29"/>
      <c r="K246" s="29"/>
      <c r="L246" s="29"/>
      <c r="M246" s="177"/>
      <c r="N246" s="29"/>
      <c r="O246" s="29"/>
      <c r="P246" s="29"/>
      <c r="Q246" s="29"/>
      <c r="R246" s="225"/>
    </row>
    <row r="247" spans="1:18" ht="24" thickTop="1" thickBot="1">
      <c r="A247" s="264" t="s">
        <v>505</v>
      </c>
      <c r="B247" s="87" t="s">
        <v>185</v>
      </c>
      <c r="C247" s="29"/>
      <c r="D247" s="29"/>
      <c r="E247" s="29"/>
      <c r="F247" s="29"/>
      <c r="G247" s="29"/>
      <c r="H247" s="29"/>
      <c r="I247" s="1109">
        <f>sysdata!I70*1000000</f>
        <v>1500000</v>
      </c>
      <c r="J247" s="29"/>
      <c r="K247" s="1119">
        <f>containers!K263</f>
        <v>0.79</v>
      </c>
      <c r="L247" s="29"/>
      <c r="M247" s="888">
        <f>+I247*K247</f>
        <v>1185000</v>
      </c>
      <c r="N247" s="29"/>
      <c r="O247" s="29"/>
      <c r="P247" s="29"/>
      <c r="Q247" s="29"/>
      <c r="R247" s="225"/>
    </row>
    <row r="248" spans="1:18" ht="24" thickTop="1" thickBot="1">
      <c r="A248" s="46"/>
      <c r="B248" s="29"/>
      <c r="C248" s="29"/>
      <c r="D248" s="29"/>
      <c r="E248" s="29"/>
      <c r="F248" s="29"/>
      <c r="G248" s="29"/>
      <c r="H248" s="29"/>
      <c r="I248" s="33"/>
      <c r="J248" s="29"/>
      <c r="K248" s="29"/>
      <c r="L248" s="29"/>
      <c r="M248" s="177"/>
      <c r="N248" s="29"/>
      <c r="O248" s="29"/>
      <c r="P248" s="29"/>
      <c r="Q248" s="29"/>
      <c r="R248" s="225"/>
    </row>
    <row r="249" spans="1:18" ht="24" thickTop="1" thickBot="1">
      <c r="A249" s="264" t="s">
        <v>507</v>
      </c>
      <c r="B249" s="87" t="s">
        <v>186</v>
      </c>
      <c r="C249" s="29"/>
      <c r="D249" s="29"/>
      <c r="E249" s="29"/>
      <c r="F249" s="29"/>
      <c r="G249" s="29"/>
      <c r="H249" s="29"/>
      <c r="I249" s="1126">
        <v>25</v>
      </c>
      <c r="J249" s="29"/>
      <c r="K249" s="29"/>
      <c r="L249" s="29"/>
      <c r="M249" s="177">
        <f>+I249</f>
        <v>25</v>
      </c>
      <c r="N249" s="29"/>
      <c r="O249" s="29"/>
      <c r="P249" s="29"/>
      <c r="Q249" s="29"/>
      <c r="R249" s="225"/>
    </row>
    <row r="250" spans="1:18" ht="24" thickTop="1" thickBot="1">
      <c r="A250" s="46"/>
      <c r="B250" s="29"/>
      <c r="C250" s="29"/>
      <c r="D250" s="29"/>
      <c r="E250" s="29"/>
      <c r="F250" s="29"/>
      <c r="G250" s="29"/>
      <c r="H250" s="29"/>
      <c r="I250" s="33"/>
      <c r="J250" s="29"/>
      <c r="K250" s="29"/>
      <c r="L250" s="29"/>
      <c r="M250" s="177"/>
      <c r="N250" s="29"/>
      <c r="O250" s="29"/>
      <c r="P250" s="29"/>
      <c r="Q250" s="29"/>
      <c r="R250" s="225"/>
    </row>
    <row r="251" spans="1:18" ht="24" thickTop="1" thickBot="1">
      <c r="A251" s="265" t="s">
        <v>509</v>
      </c>
      <c r="B251" s="38" t="s">
        <v>187</v>
      </c>
      <c r="C251" s="29"/>
      <c r="D251" s="29"/>
      <c r="E251" s="29"/>
      <c r="F251" s="29"/>
      <c r="G251" s="29"/>
      <c r="H251" s="29"/>
      <c r="I251" s="1112">
        <v>0.1</v>
      </c>
      <c r="J251" s="29"/>
      <c r="K251" s="29"/>
      <c r="L251" s="29"/>
      <c r="M251" s="194">
        <f>+I251</f>
        <v>0.1</v>
      </c>
      <c r="N251" s="29"/>
      <c r="O251" s="29"/>
      <c r="P251" s="29"/>
      <c r="Q251" s="29"/>
      <c r="R251" s="225"/>
    </row>
    <row r="252" spans="1:18" ht="24" thickTop="1" thickBot="1">
      <c r="A252" s="265"/>
      <c r="B252" s="38"/>
      <c r="C252" s="29"/>
      <c r="D252" s="29"/>
      <c r="E252" s="29"/>
      <c r="F252" s="29"/>
      <c r="G252" s="29"/>
      <c r="H252" s="29"/>
      <c r="I252" s="1513"/>
      <c r="J252" s="29"/>
      <c r="K252" s="29"/>
      <c r="L252" s="29"/>
      <c r="M252" s="194"/>
      <c r="N252" s="29"/>
      <c r="O252" s="29"/>
      <c r="P252" s="29"/>
      <c r="Q252" s="29"/>
      <c r="R252" s="225"/>
    </row>
    <row r="253" spans="1:18" ht="24" thickTop="1" thickBot="1">
      <c r="A253" s="265" t="s">
        <v>931</v>
      </c>
      <c r="B253" s="439" t="s">
        <v>926</v>
      </c>
      <c r="C253" s="29"/>
      <c r="D253" s="29"/>
      <c r="E253" s="29"/>
      <c r="F253" s="29"/>
      <c r="G253" s="29"/>
      <c r="H253" s="29"/>
      <c r="I253" s="1512">
        <f>+I245</f>
        <v>7.0000000000000007E-2</v>
      </c>
      <c r="J253" s="29"/>
      <c r="K253" s="29"/>
      <c r="L253" s="29"/>
      <c r="M253" s="194"/>
      <c r="N253" s="29"/>
      <c r="O253" s="29"/>
      <c r="P253" s="29"/>
      <c r="Q253" s="29"/>
      <c r="R253" s="225"/>
    </row>
    <row r="254" spans="1:18" ht="23.4" thickTop="1">
      <c r="A254" s="46"/>
      <c r="B254" s="29"/>
      <c r="C254" s="29"/>
      <c r="D254" s="29"/>
      <c r="E254" s="29"/>
      <c r="F254" s="29"/>
      <c r="G254" s="29"/>
      <c r="H254" s="29"/>
      <c r="I254" s="33"/>
      <c r="J254" s="29"/>
      <c r="K254" s="29"/>
      <c r="L254" s="29"/>
      <c r="M254" s="177"/>
      <c r="N254" s="29"/>
      <c r="O254" s="29"/>
      <c r="P254" s="29"/>
      <c r="Q254" s="29"/>
      <c r="R254" s="225"/>
    </row>
    <row r="255" spans="1:18" ht="22.8">
      <c r="A255" s="270" t="s">
        <v>533</v>
      </c>
      <c r="B255" s="88" t="s">
        <v>534</v>
      </c>
      <c r="C255" s="29"/>
      <c r="D255" s="29"/>
      <c r="E255" s="29"/>
      <c r="F255" s="29"/>
      <c r="G255" s="29"/>
      <c r="H255" s="29"/>
      <c r="I255" s="92"/>
      <c r="J255" s="91"/>
      <c r="K255" s="29"/>
      <c r="L255" s="29"/>
      <c r="M255" s="177"/>
      <c r="N255" s="29"/>
      <c r="O255" s="29"/>
      <c r="P255" s="29"/>
      <c r="Q255" s="29"/>
      <c r="R255" s="225"/>
    </row>
    <row r="256" spans="1:18" ht="23.4" thickBot="1">
      <c r="A256" s="46"/>
      <c r="B256" s="29"/>
      <c r="C256" s="29"/>
      <c r="D256" s="29"/>
      <c r="E256" s="29"/>
      <c r="F256" s="29"/>
      <c r="G256" s="29"/>
      <c r="H256" s="29"/>
      <c r="I256" s="89"/>
      <c r="J256" s="29"/>
      <c r="K256" s="29"/>
      <c r="L256" s="29"/>
      <c r="M256" s="177"/>
      <c r="N256" s="29"/>
      <c r="O256" s="29"/>
      <c r="P256" s="29"/>
      <c r="Q256" s="29"/>
      <c r="R256" s="225"/>
    </row>
    <row r="257" spans="1:18" ht="24" thickTop="1" thickBot="1">
      <c r="A257" s="265" t="s">
        <v>510</v>
      </c>
      <c r="B257" s="38" t="s">
        <v>478</v>
      </c>
      <c r="C257" s="29"/>
      <c r="D257" s="29"/>
      <c r="E257" s="29"/>
      <c r="F257" s="29"/>
      <c r="G257" s="29"/>
      <c r="H257" s="29"/>
      <c r="I257" s="1127">
        <f>+I64/R64*sysdata!I106*1000000+K64/R64*sysdata!I105*1000000+O64/R64*sysdata!I104*1000000</f>
        <v>82666.666666666657</v>
      </c>
      <c r="J257" s="46"/>
      <c r="K257" s="1119">
        <f>containers!K273</f>
        <v>0.79</v>
      </c>
      <c r="L257" s="29"/>
      <c r="M257" s="888">
        <f>+I257*K257</f>
        <v>65306.666666666664</v>
      </c>
      <c r="N257" s="29"/>
      <c r="O257" s="47" t="s">
        <v>714</v>
      </c>
      <c r="P257" s="47"/>
      <c r="Q257" s="47"/>
      <c r="R257" s="1223"/>
    </row>
    <row r="258" spans="1:18" ht="24" thickTop="1" thickBot="1">
      <c r="A258" s="46"/>
      <c r="B258" s="29"/>
      <c r="C258" s="29"/>
      <c r="D258" s="29"/>
      <c r="E258" s="29"/>
      <c r="F258" s="29"/>
      <c r="G258" s="29"/>
      <c r="H258" s="29"/>
      <c r="I258" s="33"/>
      <c r="J258" s="29"/>
      <c r="K258" s="29"/>
      <c r="L258" s="29"/>
      <c r="M258" s="177"/>
      <c r="N258" s="29"/>
      <c r="O258" s="29"/>
      <c r="P258" s="29"/>
      <c r="Q258" s="29"/>
      <c r="R258" s="225"/>
    </row>
    <row r="259" spans="1:18" ht="24" thickTop="1" thickBot="1">
      <c r="A259" s="264" t="s">
        <v>512</v>
      </c>
      <c r="B259" s="87" t="s">
        <v>535</v>
      </c>
      <c r="C259" s="29"/>
      <c r="D259" s="29"/>
      <c r="E259" s="29"/>
      <c r="F259" s="29"/>
      <c r="G259" s="29"/>
      <c r="H259" s="29"/>
      <c r="I259" s="1122">
        <v>20</v>
      </c>
      <c r="J259" s="46"/>
      <c r="K259" s="29"/>
      <c r="L259" s="29"/>
      <c r="M259" s="179">
        <f>+I259</f>
        <v>20</v>
      </c>
      <c r="N259" s="29"/>
      <c r="O259" s="29"/>
      <c r="P259" s="29"/>
      <c r="Q259" s="29"/>
      <c r="R259" s="225"/>
    </row>
    <row r="260" spans="1:18" ht="24" thickTop="1" thickBot="1">
      <c r="A260" s="46"/>
      <c r="B260" s="29"/>
      <c r="C260" s="29"/>
      <c r="D260" s="29"/>
      <c r="E260" s="29"/>
      <c r="F260" s="29"/>
      <c r="G260" s="29"/>
      <c r="H260" s="29"/>
      <c r="I260" s="33"/>
      <c r="J260" s="29"/>
      <c r="K260" s="29"/>
      <c r="L260" s="29"/>
      <c r="M260" s="177"/>
      <c r="N260" s="29"/>
      <c r="O260" s="29"/>
      <c r="P260" s="29"/>
      <c r="Q260" s="29"/>
      <c r="R260" s="225"/>
    </row>
    <row r="261" spans="1:18" ht="24" thickTop="1" thickBot="1">
      <c r="A261" s="265" t="s">
        <v>513</v>
      </c>
      <c r="B261" s="38" t="s">
        <v>536</v>
      </c>
      <c r="C261" s="29"/>
      <c r="D261" s="29"/>
      <c r="E261" s="29"/>
      <c r="F261" s="29"/>
      <c r="G261" s="29"/>
      <c r="H261" s="29"/>
      <c r="I261" s="1112">
        <v>0.1</v>
      </c>
      <c r="J261" s="46"/>
      <c r="K261" s="29"/>
      <c r="L261" s="29"/>
      <c r="M261" s="192">
        <f>+I261</f>
        <v>0.1</v>
      </c>
      <c r="N261" s="29"/>
      <c r="O261" s="29"/>
      <c r="P261" s="29"/>
      <c r="Q261" s="29"/>
      <c r="R261" s="225"/>
    </row>
    <row r="262" spans="1:18" ht="24" thickTop="1" thickBot="1">
      <c r="A262" s="265"/>
      <c r="B262" s="38"/>
      <c r="C262" s="29"/>
      <c r="D262" s="29"/>
      <c r="E262" s="29"/>
      <c r="F262" s="29"/>
      <c r="G262" s="29"/>
      <c r="H262" s="29"/>
      <c r="I262" s="1513"/>
      <c r="J262" s="91"/>
      <c r="K262" s="29"/>
      <c r="L262" s="29"/>
      <c r="M262" s="192"/>
      <c r="N262" s="29"/>
      <c r="O262" s="29"/>
      <c r="P262" s="29"/>
      <c r="Q262" s="29"/>
      <c r="R262" s="225"/>
    </row>
    <row r="263" spans="1:18" ht="24" thickTop="1" thickBot="1">
      <c r="A263" s="265" t="s">
        <v>932</v>
      </c>
      <c r="B263" s="439" t="s">
        <v>928</v>
      </c>
      <c r="C263" s="29"/>
      <c r="D263" s="29"/>
      <c r="E263" s="29"/>
      <c r="F263" s="29"/>
      <c r="G263" s="29"/>
      <c r="H263" s="29"/>
      <c r="I263" s="1512">
        <f>+I253</f>
        <v>7.0000000000000007E-2</v>
      </c>
      <c r="J263" s="91"/>
      <c r="K263" s="29"/>
      <c r="L263" s="29"/>
      <c r="M263" s="192"/>
      <c r="N263" s="29"/>
      <c r="O263" s="29"/>
      <c r="P263" s="29"/>
      <c r="Q263" s="29"/>
      <c r="R263" s="225"/>
    </row>
    <row r="264" spans="1:18" ht="24" thickTop="1" thickBot="1">
      <c r="A264" s="46"/>
      <c r="B264" s="29"/>
      <c r="C264" s="29"/>
      <c r="D264" s="29"/>
      <c r="E264" s="29"/>
      <c r="F264" s="29"/>
      <c r="G264" s="29"/>
      <c r="H264" s="29"/>
      <c r="I264" s="33"/>
      <c r="J264" s="29"/>
      <c r="K264" s="29"/>
      <c r="L264" s="29"/>
      <c r="M264" s="177"/>
      <c r="N264" s="29"/>
      <c r="O264" s="29"/>
      <c r="P264" s="29"/>
      <c r="Q264" s="29"/>
      <c r="R264" s="225"/>
    </row>
    <row r="265" spans="1:18" ht="24" thickTop="1" thickBot="1">
      <c r="A265" s="1498" t="s">
        <v>200</v>
      </c>
      <c r="B265" s="1499"/>
      <c r="C265" s="1499"/>
      <c r="D265" s="1499"/>
      <c r="E265" s="1499"/>
      <c r="F265" s="1499"/>
      <c r="G265" s="1499"/>
      <c r="H265" s="1499"/>
      <c r="I265" s="1500"/>
      <c r="J265" s="1501"/>
      <c r="K265" s="1502"/>
      <c r="L265" s="1502"/>
      <c r="M265" s="1502"/>
      <c r="N265" s="1502"/>
      <c r="O265" s="1502"/>
      <c r="P265" s="1502"/>
      <c r="Q265" s="1502"/>
      <c r="R265" s="1503"/>
    </row>
    <row r="266" spans="1:18" ht="23.4" thickTop="1">
      <c r="A266" s="1492"/>
      <c r="B266" s="1493"/>
      <c r="C266" s="1493"/>
      <c r="D266" s="1493"/>
      <c r="E266" s="1493"/>
      <c r="F266" s="1493"/>
      <c r="G266" s="1493"/>
      <c r="H266" s="1493"/>
      <c r="I266" s="1494"/>
      <c r="J266" s="1495"/>
      <c r="K266" s="1496"/>
      <c r="L266" s="1496"/>
      <c r="M266" s="1496"/>
      <c r="N266" s="1496"/>
      <c r="O266" s="1496"/>
      <c r="P266" s="1496"/>
      <c r="Q266" s="1496"/>
      <c r="R266" s="1497"/>
    </row>
    <row r="267" spans="1:18" ht="24.6">
      <c r="A267" s="293" t="s">
        <v>487</v>
      </c>
      <c r="B267" s="294" t="s">
        <v>109</v>
      </c>
      <c r="C267" s="294"/>
      <c r="D267" s="294"/>
      <c r="E267" s="294"/>
      <c r="F267" s="295"/>
      <c r="G267" s="29"/>
      <c r="H267" s="29"/>
      <c r="I267" s="36"/>
      <c r="J267" s="29"/>
      <c r="K267" s="29"/>
      <c r="L267" s="29"/>
      <c r="M267" s="29"/>
      <c r="N267" s="29"/>
      <c r="O267" s="29"/>
      <c r="P267" s="29"/>
      <c r="Q267" s="29"/>
      <c r="R267" s="225"/>
    </row>
    <row r="268" spans="1:18" ht="22.8">
      <c r="A268" s="46"/>
      <c r="B268" s="29"/>
      <c r="C268" s="29"/>
      <c r="D268" s="29"/>
      <c r="E268" s="29"/>
      <c r="F268" s="29"/>
      <c r="G268" s="29"/>
      <c r="H268" s="29"/>
      <c r="I268" s="197" t="s">
        <v>107</v>
      </c>
      <c r="J268" s="30"/>
      <c r="K268" s="51" t="s">
        <v>105</v>
      </c>
      <c r="L268" s="30"/>
      <c r="M268" s="52" t="s">
        <v>488</v>
      </c>
      <c r="N268" s="52"/>
      <c r="O268" s="52" t="s">
        <v>489</v>
      </c>
      <c r="P268" s="30"/>
      <c r="Q268" s="52" t="s">
        <v>489</v>
      </c>
      <c r="R268" s="226"/>
    </row>
    <row r="269" spans="1:18" ht="22.8">
      <c r="A269" s="272" t="s">
        <v>102</v>
      </c>
      <c r="B269" s="195" t="s">
        <v>103</v>
      </c>
      <c r="C269" s="29"/>
      <c r="D269" s="29"/>
      <c r="E269" s="29"/>
      <c r="F269" s="29"/>
      <c r="G269" s="29"/>
      <c r="H269" s="29"/>
      <c r="I269" s="30"/>
      <c r="J269" s="30"/>
      <c r="K269" s="52" t="s">
        <v>106</v>
      </c>
      <c r="L269" s="29"/>
      <c r="M269" s="52" t="s">
        <v>491</v>
      </c>
      <c r="N269" s="29"/>
      <c r="O269" s="52" t="s">
        <v>104</v>
      </c>
      <c r="P269" s="35"/>
      <c r="Q269" s="52" t="s">
        <v>537</v>
      </c>
      <c r="R269" s="226"/>
    </row>
    <row r="270" spans="1:18" ht="22.8">
      <c r="A270" s="46"/>
      <c r="B270" s="29"/>
      <c r="C270" s="29"/>
      <c r="D270" s="29"/>
      <c r="E270" s="29"/>
      <c r="F270" s="29"/>
      <c r="G270" s="29"/>
      <c r="H270" s="29"/>
      <c r="I270" s="30"/>
      <c r="J270" s="30"/>
      <c r="K270" s="52"/>
      <c r="L270" s="29"/>
      <c r="M270" s="52"/>
      <c r="N270" s="29"/>
      <c r="O270" s="52"/>
      <c r="P270" s="35"/>
      <c r="Q270" s="52"/>
      <c r="R270" s="226"/>
    </row>
    <row r="271" spans="1:18" ht="22.8">
      <c r="A271" s="265" t="s">
        <v>514</v>
      </c>
      <c r="B271" s="38" t="s">
        <v>493</v>
      </c>
      <c r="C271" s="29"/>
      <c r="D271" s="29"/>
      <c r="E271" s="29"/>
      <c r="F271" s="29"/>
      <c r="G271" s="29"/>
      <c r="H271" s="29"/>
      <c r="I271" s="890">
        <f>+I118*I182</f>
        <v>1278416.6298098187</v>
      </c>
      <c r="J271" s="30"/>
      <c r="K271" s="892">
        <f>+I271/$K$100</f>
        <v>779.52233524988947</v>
      </c>
      <c r="L271" s="53"/>
      <c r="M271" s="892">
        <f>+I271/($R$64*$K$100)</f>
        <v>25.98407784166298</v>
      </c>
      <c r="N271" s="53"/>
      <c r="O271" s="201">
        <f>+I271/$I$41</f>
        <v>1.6602813374153489</v>
      </c>
      <c r="P271" s="53"/>
      <c r="Q271" s="203">
        <f>+I271/($I$41*$I$28)</f>
        <v>3.5325134838624446E-3</v>
      </c>
      <c r="R271" s="227"/>
    </row>
    <row r="272" spans="1:18" ht="22.8">
      <c r="A272" s="46"/>
      <c r="B272" s="29"/>
      <c r="C272" s="29"/>
      <c r="D272" s="29"/>
      <c r="E272" s="29"/>
      <c r="F272" s="29"/>
      <c r="G272" s="29"/>
      <c r="H272" s="29"/>
      <c r="I272" s="891"/>
      <c r="J272" s="30"/>
      <c r="K272" s="892"/>
      <c r="L272" s="53"/>
      <c r="M272" s="897"/>
      <c r="N272" s="53"/>
      <c r="O272" s="53"/>
      <c r="P272" s="53"/>
      <c r="Q272" s="54"/>
      <c r="R272" s="228"/>
    </row>
    <row r="273" spans="1:18" ht="22.8">
      <c r="A273" s="265" t="s">
        <v>518</v>
      </c>
      <c r="B273" s="86" t="s">
        <v>525</v>
      </c>
      <c r="C273" s="29"/>
      <c r="D273" s="29"/>
      <c r="E273" s="29"/>
      <c r="F273" s="29"/>
      <c r="G273" s="29"/>
      <c r="H273" s="29"/>
      <c r="I273" s="890">
        <f>+I152*I184+I154*I186</f>
        <v>3963683.0287206266</v>
      </c>
      <c r="J273" s="30"/>
      <c r="K273" s="892">
        <f>+I273/$K$100</f>
        <v>2416.8798955613579</v>
      </c>
      <c r="L273" s="53"/>
      <c r="M273" s="892">
        <f>+I273/($R$64*$K$100)</f>
        <v>80.562663185378597</v>
      </c>
      <c r="N273" s="53"/>
      <c r="O273" s="201">
        <f>+I273/$I$41</f>
        <v>5.147640297039775</v>
      </c>
      <c r="P273" s="53"/>
      <c r="Q273" s="203">
        <f>+I273/($I$41*$I$28)</f>
        <v>1.0952426163914415E-2</v>
      </c>
      <c r="R273" s="227"/>
    </row>
    <row r="274" spans="1:18" ht="22.8">
      <c r="A274" s="46"/>
      <c r="B274" s="29"/>
      <c r="C274" s="29"/>
      <c r="D274" s="29"/>
      <c r="E274" s="29"/>
      <c r="F274" s="29"/>
      <c r="G274" s="29"/>
      <c r="H274" s="29"/>
      <c r="I274" s="891"/>
      <c r="J274" s="30"/>
      <c r="K274" s="892"/>
      <c r="L274" s="53"/>
      <c r="M274" s="897"/>
      <c r="N274" s="53"/>
      <c r="O274" s="53"/>
      <c r="P274" s="53"/>
      <c r="Q274" s="54"/>
      <c r="R274" s="228"/>
    </row>
    <row r="275" spans="1:18" ht="22.8">
      <c r="A275" s="265" t="s">
        <v>519</v>
      </c>
      <c r="B275" s="38" t="s">
        <v>496</v>
      </c>
      <c r="C275" s="29"/>
      <c r="D275" s="29"/>
      <c r="E275" s="29"/>
      <c r="F275" s="29"/>
      <c r="G275" s="29"/>
      <c r="H275" s="29"/>
      <c r="I275" s="890">
        <f>+(I140*1000)*I188</f>
        <v>884601.42222222232</v>
      </c>
      <c r="J275" s="30"/>
      <c r="K275" s="892">
        <f>+I275/$K$100</f>
        <v>539.39111111111117</v>
      </c>
      <c r="L275" s="53"/>
      <c r="M275" s="892">
        <f>+I275/($R$64*$K$100)</f>
        <v>17.979703703703706</v>
      </c>
      <c r="N275" s="53"/>
      <c r="O275" s="201">
        <f>+I275/$I$41</f>
        <v>1.148833015873016</v>
      </c>
      <c r="P275" s="53"/>
      <c r="Q275" s="203">
        <f>+I275/($I$41*$I$28)</f>
        <v>2.4443255656872681E-3</v>
      </c>
      <c r="R275" s="227"/>
    </row>
    <row r="276" spans="1:18" ht="22.8">
      <c r="A276" s="46"/>
      <c r="B276" s="29"/>
      <c r="C276" s="29"/>
      <c r="D276" s="29"/>
      <c r="E276" s="29"/>
      <c r="F276" s="29"/>
      <c r="G276" s="29"/>
      <c r="H276" s="29"/>
      <c r="I276" s="891"/>
      <c r="J276" s="30"/>
      <c r="K276" s="897"/>
      <c r="L276" s="53"/>
      <c r="M276" s="897"/>
      <c r="N276" s="53"/>
      <c r="O276" s="53"/>
      <c r="P276" s="53"/>
      <c r="Q276" s="54"/>
      <c r="R276" s="228"/>
    </row>
    <row r="277" spans="1:18" ht="22.8">
      <c r="A277" s="265" t="s">
        <v>520</v>
      </c>
      <c r="B277" s="38" t="s">
        <v>498</v>
      </c>
      <c r="C277" s="29"/>
      <c r="D277" s="29"/>
      <c r="E277" s="29"/>
      <c r="F277" s="29"/>
      <c r="G277" s="29"/>
      <c r="H277" s="29"/>
      <c r="I277" s="890">
        <f>+(I142*1000)*I190</f>
        <v>3128891.7525773202</v>
      </c>
      <c r="J277" s="30"/>
      <c r="K277" s="892">
        <f>+I277/$K$100</f>
        <v>1907.8608247422685</v>
      </c>
      <c r="L277" s="53"/>
      <c r="M277" s="892">
        <f>+I277/($R$64*$K$100)</f>
        <v>63.595360824742279</v>
      </c>
      <c r="N277" s="53"/>
      <c r="O277" s="201">
        <f>+I277/$I$41</f>
        <v>4.0634957825679487</v>
      </c>
      <c r="P277" s="53"/>
      <c r="Q277" s="203">
        <f>+I277/($I$41*$I$28)</f>
        <v>8.6457357075913795E-3</v>
      </c>
      <c r="R277" s="227"/>
    </row>
    <row r="278" spans="1:18" ht="22.8">
      <c r="A278" s="39"/>
      <c r="B278" s="29"/>
      <c r="C278" s="29"/>
      <c r="D278" s="29"/>
      <c r="E278" s="29"/>
      <c r="F278" s="29"/>
      <c r="G278" s="29"/>
      <c r="H278" s="29"/>
      <c r="I278" s="891"/>
      <c r="J278" s="30"/>
      <c r="K278" s="897"/>
      <c r="L278" s="53"/>
      <c r="M278" s="897"/>
      <c r="N278" s="53"/>
      <c r="O278" s="53"/>
      <c r="P278" s="53"/>
      <c r="Q278" s="90"/>
      <c r="R278" s="228"/>
    </row>
    <row r="279" spans="1:18" ht="22.8">
      <c r="A279" s="265" t="s">
        <v>521</v>
      </c>
      <c r="B279" s="38" t="s">
        <v>500</v>
      </c>
      <c r="C279" s="29"/>
      <c r="D279" s="29"/>
      <c r="E279" s="29"/>
      <c r="F279" s="29"/>
      <c r="G279" s="29"/>
      <c r="H279" s="29"/>
      <c r="I279" s="890">
        <f>+(I146*1000)*I192</f>
        <v>472144.86874060991</v>
      </c>
      <c r="J279" s="30"/>
      <c r="K279" s="892">
        <f>+I279/$K$100</f>
        <v>287.89321264671338</v>
      </c>
      <c r="L279" s="53"/>
      <c r="M279" s="892">
        <f>+I279/($R$64*$K$100)</f>
        <v>9.5964404215571122</v>
      </c>
      <c r="N279" s="53"/>
      <c r="O279" s="201">
        <f>+I279/$I$41</f>
        <v>0.61317515420858426</v>
      </c>
      <c r="P279" s="53"/>
      <c r="Q279" s="203">
        <f>+I279/($I$41*$I$28)</f>
        <v>1.3046279876778389E-3</v>
      </c>
      <c r="R279" s="227"/>
    </row>
    <row r="280" spans="1:18" ht="22.8">
      <c r="A280" s="266"/>
      <c r="B280" s="38"/>
      <c r="C280" s="29"/>
      <c r="D280" s="29"/>
      <c r="E280" s="29"/>
      <c r="F280" s="29"/>
      <c r="G280" s="29"/>
      <c r="H280" s="29"/>
      <c r="I280" s="891"/>
      <c r="J280" s="30"/>
      <c r="K280" s="892"/>
      <c r="L280" s="53"/>
      <c r="M280" s="897"/>
      <c r="N280" s="53"/>
      <c r="O280" s="53"/>
      <c r="P280" s="53"/>
      <c r="Q280" s="90"/>
      <c r="R280" s="228"/>
    </row>
    <row r="281" spans="1:18" ht="22.8">
      <c r="A281" s="265" t="s">
        <v>522</v>
      </c>
      <c r="B281" s="38" t="s">
        <v>502</v>
      </c>
      <c r="C281" s="29"/>
      <c r="D281" s="29"/>
      <c r="E281" s="29"/>
      <c r="F281" s="29"/>
      <c r="G281" s="29"/>
      <c r="H281" s="29"/>
      <c r="I281" s="890">
        <f>+K100*R64*I198</f>
        <v>894992.49422724952</v>
      </c>
      <c r="J281" s="30"/>
      <c r="K281" s="892">
        <f>+I281/$K$100</f>
        <v>545.72713062637172</v>
      </c>
      <c r="L281" s="53"/>
      <c r="M281" s="892">
        <f>+I281/($R$64*$K$100)</f>
        <v>18.190904354212389</v>
      </c>
      <c r="N281" s="53"/>
      <c r="O281" s="201">
        <f>+I281/$I$41</f>
        <v>1.1623279145808436</v>
      </c>
      <c r="P281" s="53"/>
      <c r="Q281" s="203">
        <f>+I281/($I$41*$I$28)</f>
        <v>2.4730381161294545E-3</v>
      </c>
      <c r="R281" s="227"/>
    </row>
    <row r="282" spans="1:18" ht="22.8">
      <c r="A282" s="266"/>
      <c r="B282" s="38"/>
      <c r="C282" s="29"/>
      <c r="D282" s="29"/>
      <c r="E282" s="29"/>
      <c r="F282" s="29"/>
      <c r="G282" s="29"/>
      <c r="H282" s="29"/>
      <c r="I282" s="891"/>
      <c r="J282" s="30"/>
      <c r="K282" s="892"/>
      <c r="L282" s="53"/>
      <c r="M282" s="897"/>
      <c r="N282" s="53"/>
      <c r="O282" s="53"/>
      <c r="P282" s="53"/>
      <c r="Q282" s="54"/>
      <c r="R282" s="228"/>
    </row>
    <row r="283" spans="1:18" ht="22.8">
      <c r="A283" s="265" t="s">
        <v>523</v>
      </c>
      <c r="B283" s="38" t="s">
        <v>580</v>
      </c>
      <c r="C283" s="29"/>
      <c r="D283" s="29"/>
      <c r="E283" s="29"/>
      <c r="F283" s="29"/>
      <c r="G283" s="29"/>
      <c r="H283" s="29"/>
      <c r="I283" s="890"/>
      <c r="J283" s="30"/>
      <c r="K283" s="892"/>
      <c r="L283" s="53"/>
      <c r="M283" s="892"/>
      <c r="N283" s="53"/>
      <c r="O283" s="201"/>
      <c r="P283" s="53"/>
      <c r="Q283" s="203"/>
      <c r="R283" s="227"/>
    </row>
    <row r="284" spans="1:18" ht="22.8">
      <c r="A284" s="266"/>
      <c r="B284" s="38"/>
      <c r="C284" s="29"/>
      <c r="D284" s="29"/>
      <c r="E284" s="29"/>
      <c r="F284" s="29"/>
      <c r="G284" s="29"/>
      <c r="H284" s="29"/>
      <c r="I284" s="891"/>
      <c r="J284" s="30"/>
      <c r="K284" s="892"/>
      <c r="L284" s="53"/>
      <c r="M284" s="897"/>
      <c r="N284" s="53"/>
      <c r="O284" s="53"/>
      <c r="P284" s="53"/>
      <c r="Q284" s="54"/>
      <c r="R284" s="228"/>
    </row>
    <row r="285" spans="1:18" ht="22.8">
      <c r="A285" s="265" t="s">
        <v>524</v>
      </c>
      <c r="B285" s="38"/>
      <c r="C285" s="45" t="s">
        <v>110</v>
      </c>
      <c r="D285" s="29"/>
      <c r="E285" s="29"/>
      <c r="F285" s="29"/>
      <c r="G285" s="29"/>
      <c r="H285" s="29"/>
      <c r="I285" s="893">
        <f>SUM(I271:I283)</f>
        <v>10622730.196297849</v>
      </c>
      <c r="J285" s="30"/>
      <c r="K285" s="893">
        <f>SUM(K271:K283)</f>
        <v>6477.2745099377116</v>
      </c>
      <c r="L285" s="53"/>
      <c r="M285" s="893">
        <f>SUM(M271:M283)</f>
        <v>215.90915033125705</v>
      </c>
      <c r="N285" s="53"/>
      <c r="O285" s="202">
        <f>SUM(O271:O283)</f>
        <v>13.795753501685516</v>
      </c>
      <c r="P285" s="53"/>
      <c r="Q285" s="204">
        <f>SUM(Q271:Q283)</f>
        <v>2.9352667024862798E-2</v>
      </c>
      <c r="R285" s="229"/>
    </row>
    <row r="286" spans="1:18" ht="22.8">
      <c r="A286" s="266"/>
      <c r="B286" s="38"/>
      <c r="C286" s="29"/>
      <c r="D286" s="29"/>
      <c r="E286" s="29"/>
      <c r="F286" s="29"/>
      <c r="G286" s="29"/>
      <c r="H286" s="29"/>
      <c r="I286" s="891"/>
      <c r="J286" s="30"/>
      <c r="K286" s="892"/>
      <c r="L286" s="53"/>
      <c r="M286" s="897"/>
      <c r="N286" s="53"/>
      <c r="O286" s="53"/>
      <c r="P286" s="53"/>
      <c r="Q286" s="54"/>
      <c r="R286" s="228"/>
    </row>
    <row r="287" spans="1:18" ht="22.8">
      <c r="A287" s="266"/>
      <c r="B287" s="38"/>
      <c r="C287" s="29"/>
      <c r="D287" s="29"/>
      <c r="E287" s="29"/>
      <c r="F287" s="29"/>
      <c r="G287" s="29"/>
      <c r="H287" s="29"/>
      <c r="I287" s="891"/>
      <c r="J287" s="30"/>
      <c r="K287" s="892"/>
      <c r="L287" s="53"/>
      <c r="M287" s="897"/>
      <c r="N287" s="53"/>
      <c r="O287" s="53"/>
      <c r="P287" s="53"/>
      <c r="Q287" s="54"/>
      <c r="R287" s="228"/>
    </row>
    <row r="288" spans="1:18" ht="22.8">
      <c r="A288" s="273" t="s">
        <v>123</v>
      </c>
      <c r="B288" s="195" t="s">
        <v>124</v>
      </c>
      <c r="C288" s="29"/>
      <c r="D288" s="29"/>
      <c r="E288" s="29"/>
      <c r="F288" s="29"/>
      <c r="G288" s="29"/>
      <c r="H288" s="29"/>
      <c r="I288" s="891"/>
      <c r="J288" s="30"/>
      <c r="K288" s="892"/>
      <c r="L288" s="53"/>
      <c r="M288" s="897"/>
      <c r="N288" s="53"/>
      <c r="O288" s="53"/>
      <c r="P288" s="53"/>
      <c r="Q288" s="54"/>
      <c r="R288" s="228"/>
    </row>
    <row r="289" spans="1:18" ht="22.8">
      <c r="A289" s="266"/>
      <c r="B289" s="38"/>
      <c r="C289" s="29"/>
      <c r="D289" s="29"/>
      <c r="E289" s="29"/>
      <c r="F289" s="29"/>
      <c r="G289" s="29"/>
      <c r="H289" s="29"/>
      <c r="I289" s="891"/>
      <c r="J289" s="30"/>
      <c r="K289" s="892"/>
      <c r="L289" s="53"/>
      <c r="M289" s="897"/>
      <c r="N289" s="53"/>
      <c r="O289" s="53"/>
      <c r="P289" s="53"/>
      <c r="Q289" s="54"/>
      <c r="R289" s="228"/>
    </row>
    <row r="290" spans="1:18" ht="22.8">
      <c r="A290" s="265" t="s">
        <v>538</v>
      </c>
      <c r="B290" s="38" t="s">
        <v>511</v>
      </c>
      <c r="C290" s="29"/>
      <c r="D290" s="29"/>
      <c r="E290" s="29"/>
      <c r="F290" s="29"/>
      <c r="G290" s="29"/>
      <c r="H290" s="29"/>
      <c r="I290" s="890">
        <f>+I194*I158</f>
        <v>2332054.4000000004</v>
      </c>
      <c r="J290" s="30"/>
      <c r="K290" s="892">
        <f>+I290/$K$100</f>
        <v>1421.9843902439027</v>
      </c>
      <c r="L290" s="53"/>
      <c r="M290" s="892">
        <f>+I290/($R$64*$K$100)</f>
        <v>47.399479674796758</v>
      </c>
      <c r="N290" s="53"/>
      <c r="O290" s="201">
        <f>+I290/$I$41</f>
        <v>3.0286420779220786</v>
      </c>
      <c r="P290" s="53"/>
      <c r="Q290" s="203">
        <f>+I290/($I$41*$I$28)</f>
        <v>6.4439193147278265E-3</v>
      </c>
      <c r="R290" s="227"/>
    </row>
    <row r="291" spans="1:18" ht="22.8">
      <c r="A291" s="266"/>
      <c r="B291" s="38"/>
      <c r="C291" s="29"/>
      <c r="D291" s="29"/>
      <c r="E291" s="29"/>
      <c r="F291" s="29"/>
      <c r="G291" s="29"/>
      <c r="H291" s="29"/>
      <c r="I291" s="891"/>
      <c r="J291" s="30"/>
      <c r="K291" s="892"/>
      <c r="L291" s="53"/>
      <c r="M291" s="897"/>
      <c r="N291" s="53"/>
      <c r="O291" s="53"/>
      <c r="P291" s="53"/>
      <c r="Q291" s="54"/>
      <c r="R291" s="228"/>
    </row>
    <row r="292" spans="1:18" ht="22.8">
      <c r="A292" s="265" t="s">
        <v>539</v>
      </c>
      <c r="B292" s="38" t="s">
        <v>126</v>
      </c>
      <c r="C292" s="29"/>
      <c r="D292" s="29"/>
      <c r="E292" s="29"/>
      <c r="F292" s="29"/>
      <c r="G292" s="29"/>
      <c r="H292" s="29"/>
      <c r="I292" s="890">
        <f>+I28*I196</f>
        <v>1398720</v>
      </c>
      <c r="J292" s="30"/>
      <c r="K292" s="892">
        <f>+I292/$K$100</f>
        <v>852.8780487804878</v>
      </c>
      <c r="L292" s="53"/>
      <c r="M292" s="892">
        <f>+I292/($R$64*$K$100)</f>
        <v>28.429268292682927</v>
      </c>
      <c r="N292" s="53"/>
      <c r="O292" s="201">
        <f>+I292/$I$41</f>
        <v>1.8165194805194804</v>
      </c>
      <c r="P292" s="53"/>
      <c r="Q292" s="203">
        <f>+I292/($I$41*$I$28)</f>
        <v>3.864935064935065E-3</v>
      </c>
      <c r="R292" s="227"/>
    </row>
    <row r="293" spans="1:18" ht="22.8">
      <c r="A293" s="266"/>
      <c r="B293" s="38"/>
      <c r="C293" s="29"/>
      <c r="D293" s="29"/>
      <c r="E293" s="29"/>
      <c r="F293" s="29"/>
      <c r="G293" s="29"/>
      <c r="H293" s="29"/>
      <c r="I293" s="891"/>
      <c r="J293" s="30"/>
      <c r="K293" s="892"/>
      <c r="L293" s="53"/>
      <c r="M293" s="897"/>
      <c r="N293" s="53"/>
      <c r="O293" s="53"/>
      <c r="P293" s="53"/>
      <c r="Q293" s="54"/>
      <c r="R293" s="228"/>
    </row>
    <row r="294" spans="1:18" ht="22.8">
      <c r="A294" s="265" t="s">
        <v>540</v>
      </c>
      <c r="B294" s="38" t="s">
        <v>127</v>
      </c>
      <c r="C294" s="29"/>
      <c r="D294" s="29"/>
      <c r="E294" s="29"/>
      <c r="F294" s="29"/>
      <c r="G294" s="29"/>
      <c r="H294" s="29"/>
      <c r="I294" s="890">
        <f>+I200</f>
        <v>0</v>
      </c>
      <c r="J294" s="30"/>
      <c r="K294" s="892">
        <f>+I294/$K$100</f>
        <v>0</v>
      </c>
      <c r="L294" s="53"/>
      <c r="M294" s="892">
        <f>+I294/($R$64*$K$100)</f>
        <v>0</v>
      </c>
      <c r="N294" s="53"/>
      <c r="O294" s="201">
        <f>+I294/$I$41</f>
        <v>0</v>
      </c>
      <c r="P294" s="53"/>
      <c r="Q294" s="203">
        <f>+I294/($I$41*$I$28)</f>
        <v>0</v>
      </c>
      <c r="R294" s="227"/>
    </row>
    <row r="295" spans="1:18" ht="22.8">
      <c r="A295" s="266"/>
      <c r="B295" s="38"/>
      <c r="C295" s="29"/>
      <c r="D295" s="29"/>
      <c r="E295" s="29"/>
      <c r="F295" s="29"/>
      <c r="G295" s="29"/>
      <c r="H295" s="29"/>
      <c r="I295" s="891"/>
      <c r="J295" s="30"/>
      <c r="K295" s="892"/>
      <c r="L295" s="53"/>
      <c r="M295" s="897"/>
      <c r="N295" s="53"/>
      <c r="O295" s="53"/>
      <c r="P295" s="53"/>
      <c r="Q295" s="54"/>
      <c r="R295" s="228"/>
    </row>
    <row r="296" spans="1:18" ht="22.8">
      <c r="A296" s="265" t="s">
        <v>128</v>
      </c>
      <c r="B296" s="38"/>
      <c r="C296" s="45" t="s">
        <v>130</v>
      </c>
      <c r="D296" s="29"/>
      <c r="E296" s="29"/>
      <c r="F296" s="29"/>
      <c r="G296" s="29"/>
      <c r="H296" s="29"/>
      <c r="I296" s="894">
        <f>SUM(I290:I294)</f>
        <v>3730774.4000000004</v>
      </c>
      <c r="J296" s="30"/>
      <c r="K296" s="894">
        <f>SUM(K290:K294)</f>
        <v>2274.8624390243904</v>
      </c>
      <c r="L296" s="53"/>
      <c r="M296" s="894">
        <f>SUM(M290:M294)</f>
        <v>75.828747967479686</v>
      </c>
      <c r="N296" s="53"/>
      <c r="O296" s="207">
        <f>SUM(O290:O294)</f>
        <v>4.8451615584415588</v>
      </c>
      <c r="P296" s="53"/>
      <c r="Q296" s="208">
        <f>SUM(Q290:Q294)</f>
        <v>1.0308854379662891E-2</v>
      </c>
      <c r="R296" s="230"/>
    </row>
    <row r="297" spans="1:18" ht="22.8">
      <c r="A297" s="266"/>
      <c r="B297" s="38"/>
      <c r="C297" s="29"/>
      <c r="D297" s="29"/>
      <c r="E297" s="29"/>
      <c r="F297" s="29"/>
      <c r="G297" s="29"/>
      <c r="H297" s="29"/>
      <c r="I297" s="891"/>
      <c r="J297" s="30"/>
      <c r="K297" s="892"/>
      <c r="L297" s="53"/>
      <c r="M297" s="897"/>
      <c r="N297" s="53"/>
      <c r="O297" s="53"/>
      <c r="P297" s="53"/>
      <c r="Q297" s="54"/>
      <c r="R297" s="228"/>
    </row>
    <row r="298" spans="1:18" ht="22.8">
      <c r="A298" s="273" t="s">
        <v>129</v>
      </c>
      <c r="B298" s="210" t="s">
        <v>138</v>
      </c>
      <c r="C298" s="29"/>
      <c r="D298" s="29"/>
      <c r="E298" s="29"/>
      <c r="F298" s="29"/>
      <c r="G298" s="29"/>
      <c r="H298" s="29"/>
      <c r="I298" s="891"/>
      <c r="J298" s="30"/>
      <c r="K298" s="892"/>
      <c r="L298" s="53"/>
      <c r="M298" s="897"/>
      <c r="N298" s="53"/>
      <c r="O298" s="53"/>
      <c r="P298" s="53"/>
      <c r="Q298" s="54"/>
      <c r="R298" s="228"/>
    </row>
    <row r="299" spans="1:18" ht="23.4" thickBot="1">
      <c r="A299" s="266"/>
      <c r="B299" s="38"/>
      <c r="C299" s="29"/>
      <c r="D299" s="29"/>
      <c r="E299" s="29"/>
      <c r="F299" s="29"/>
      <c r="G299" s="29"/>
      <c r="H299" s="29"/>
      <c r="I299" s="891"/>
      <c r="J299" s="30"/>
      <c r="K299" s="892"/>
      <c r="L299" s="53"/>
      <c r="M299" s="897"/>
      <c r="N299" s="53"/>
      <c r="O299" s="53"/>
      <c r="P299" s="53"/>
      <c r="Q299" s="54"/>
      <c r="R299" s="228"/>
    </row>
    <row r="300" spans="1:18" ht="24" thickTop="1" thickBot="1">
      <c r="A300" s="265" t="s">
        <v>132</v>
      </c>
      <c r="B300" s="38" t="s">
        <v>139</v>
      </c>
      <c r="C300" s="29"/>
      <c r="D300" s="29"/>
      <c r="E300" s="29"/>
      <c r="F300" s="29"/>
      <c r="G300" s="1108">
        <v>0.3</v>
      </c>
      <c r="H300" s="219" t="s">
        <v>140</v>
      </c>
      <c r="I300" s="890">
        <f>+(I285+I296)*G300</f>
        <v>4306051.3788893549</v>
      </c>
      <c r="J300" s="30"/>
      <c r="K300" s="892">
        <f>+I300/$K$100</f>
        <v>2625.6410846886311</v>
      </c>
      <c r="L300" s="53"/>
      <c r="M300" s="892">
        <f>+I300/($R$64*$K$100)</f>
        <v>87.521369489621037</v>
      </c>
      <c r="N300" s="53"/>
      <c r="O300" s="201">
        <f>+I300/$I$41</f>
        <v>5.5922745180381233</v>
      </c>
      <c r="P300" s="53"/>
      <c r="Q300" s="203">
        <f>+I300/($I$41*$I$28)</f>
        <v>1.1898456421357709E-2</v>
      </c>
      <c r="R300" s="227"/>
    </row>
    <row r="301" spans="1:18" ht="23.4" thickTop="1">
      <c r="A301" s="266"/>
      <c r="B301" s="38"/>
      <c r="C301" s="29"/>
      <c r="D301" s="29"/>
      <c r="E301" s="29"/>
      <c r="F301" s="29"/>
      <c r="G301" s="29"/>
      <c r="H301" s="29"/>
      <c r="I301" s="891"/>
      <c r="J301" s="30"/>
      <c r="K301" s="892"/>
      <c r="L301" s="53"/>
      <c r="M301" s="897"/>
      <c r="N301" s="53"/>
      <c r="O301" s="53"/>
      <c r="P301" s="53"/>
      <c r="Q301" s="54"/>
      <c r="R301" s="228"/>
    </row>
    <row r="302" spans="1:18" ht="22.8">
      <c r="A302" s="265" t="s">
        <v>134</v>
      </c>
      <c r="B302" s="38" t="s">
        <v>141</v>
      </c>
      <c r="C302" s="29"/>
      <c r="D302" s="29"/>
      <c r="E302" s="29"/>
      <c r="F302" s="29"/>
      <c r="G302" s="93"/>
      <c r="H302" s="87"/>
      <c r="I302" s="890">
        <f>sysdata!D240*1000000</f>
        <v>35856.896126326181</v>
      </c>
      <c r="J302" s="30"/>
      <c r="K302" s="892">
        <f>+I302/$K$100</f>
        <v>21.863961052637915</v>
      </c>
      <c r="L302" s="53"/>
      <c r="M302" s="892">
        <f>+I302/($R$64*$K$100)</f>
        <v>0.72879870175459716</v>
      </c>
      <c r="N302" s="53"/>
      <c r="O302" s="201">
        <f>+I302/$I$41</f>
        <v>4.6567397566657377E-2</v>
      </c>
      <c r="P302" s="53"/>
      <c r="Q302" s="203">
        <f>+I302/($I$41*$I$28)</f>
        <v>9.9079569290760384E-5</v>
      </c>
      <c r="R302" s="227"/>
    </row>
    <row r="303" spans="1:18" ht="22.8">
      <c r="A303" s="266"/>
      <c r="B303" s="38"/>
      <c r="C303" s="29"/>
      <c r="D303" s="29"/>
      <c r="E303" s="29"/>
      <c r="F303" s="29"/>
      <c r="G303" s="29"/>
      <c r="H303" s="87"/>
      <c r="I303" s="891"/>
      <c r="J303" s="30"/>
      <c r="K303" s="892"/>
      <c r="L303" s="53"/>
      <c r="M303" s="897"/>
      <c r="N303" s="53"/>
      <c r="O303" s="53"/>
      <c r="P303" s="53"/>
      <c r="Q303" s="54"/>
      <c r="R303" s="228"/>
    </row>
    <row r="304" spans="1:18" ht="22.8">
      <c r="A304" s="265" t="s">
        <v>135</v>
      </c>
      <c r="B304" s="38"/>
      <c r="C304" s="45" t="s">
        <v>143</v>
      </c>
      <c r="D304" s="29"/>
      <c r="E304" s="29"/>
      <c r="F304" s="29"/>
      <c r="G304" s="29"/>
      <c r="H304" s="87"/>
      <c r="I304" s="894">
        <f>SUM(I300:I302)</f>
        <v>4341908.2750156811</v>
      </c>
      <c r="J304" s="30"/>
      <c r="K304" s="894">
        <f>SUM(K300:K302)</f>
        <v>2647.505045741269</v>
      </c>
      <c r="L304" s="53"/>
      <c r="M304" s="894">
        <f>SUM(M300:M302)</f>
        <v>88.250168191375636</v>
      </c>
      <c r="N304" s="53"/>
      <c r="O304" s="207">
        <f>SUM(O300:O302)</f>
        <v>5.6388419156047807</v>
      </c>
      <c r="P304" s="53"/>
      <c r="Q304" s="208">
        <f>SUM(Q300:Q302)</f>
        <v>1.199753599064847E-2</v>
      </c>
      <c r="R304" s="230"/>
    </row>
    <row r="305" spans="1:18" ht="22.8">
      <c r="A305" s="266"/>
      <c r="B305" s="38"/>
      <c r="C305" s="29"/>
      <c r="D305" s="29"/>
      <c r="E305" s="29"/>
      <c r="F305" s="29"/>
      <c r="G305" s="29"/>
      <c r="H305" s="29"/>
      <c r="I305" s="891"/>
      <c r="J305" s="30"/>
      <c r="K305" s="892"/>
      <c r="L305" s="53"/>
      <c r="M305" s="897"/>
      <c r="N305" s="53"/>
      <c r="O305" s="53"/>
      <c r="P305" s="53"/>
      <c r="Q305" s="54"/>
      <c r="R305" s="228"/>
    </row>
    <row r="306" spans="1:18" ht="22.8">
      <c r="A306" s="273" t="s">
        <v>142</v>
      </c>
      <c r="B306" s="210" t="s">
        <v>531</v>
      </c>
      <c r="C306" s="29"/>
      <c r="D306" s="29"/>
      <c r="E306" s="29"/>
      <c r="F306" s="29"/>
      <c r="G306" s="29"/>
      <c r="H306" s="29"/>
      <c r="I306" s="891"/>
      <c r="J306" s="30"/>
      <c r="K306" s="892"/>
      <c r="L306" s="53"/>
      <c r="M306" s="897"/>
      <c r="N306" s="53"/>
      <c r="O306" s="53"/>
      <c r="P306" s="53"/>
      <c r="Q306" s="54"/>
      <c r="R306" s="228"/>
    </row>
    <row r="307" spans="1:18" ht="22.8">
      <c r="A307" s="266"/>
      <c r="B307" s="38"/>
      <c r="C307" s="29"/>
      <c r="D307" s="29"/>
      <c r="E307" s="29"/>
      <c r="F307" s="29"/>
      <c r="G307" s="29"/>
      <c r="H307" s="29"/>
      <c r="I307" s="891"/>
      <c r="J307" s="30"/>
      <c r="K307" s="892"/>
      <c r="L307" s="53"/>
      <c r="M307" s="897"/>
      <c r="N307" s="53"/>
      <c r="O307" s="53"/>
      <c r="P307" s="53"/>
      <c r="Q307" s="54"/>
      <c r="R307" s="228"/>
    </row>
    <row r="308" spans="1:18" ht="22.8">
      <c r="A308" s="265" t="s">
        <v>136</v>
      </c>
      <c r="B308" s="211" t="s">
        <v>508</v>
      </c>
      <c r="C308" s="30"/>
      <c r="D308" s="29"/>
      <c r="E308" s="29"/>
      <c r="F308" s="29"/>
      <c r="G308" s="29"/>
      <c r="H308" s="29"/>
      <c r="I308" s="891"/>
      <c r="J308" s="30"/>
      <c r="K308" s="892"/>
      <c r="L308" s="53"/>
      <c r="M308" s="897"/>
      <c r="N308" s="53"/>
      <c r="O308" s="343"/>
      <c r="P308" s="343"/>
      <c r="Q308" s="54"/>
      <c r="R308" s="228"/>
    </row>
    <row r="309" spans="1:18" ht="22.8">
      <c r="A309" s="265"/>
      <c r="B309" s="94"/>
      <c r="C309" s="30"/>
      <c r="D309" s="29"/>
      <c r="E309" s="29"/>
      <c r="F309" s="29"/>
      <c r="G309" s="29"/>
      <c r="H309" s="29"/>
      <c r="I309" s="891"/>
      <c r="J309" s="30"/>
      <c r="K309" s="892"/>
      <c r="L309" s="53"/>
      <c r="M309" s="897"/>
      <c r="N309" s="53"/>
      <c r="O309" s="53"/>
      <c r="P309" s="53"/>
      <c r="Q309" s="54"/>
      <c r="R309" s="228"/>
    </row>
    <row r="310" spans="1:18" ht="22.8">
      <c r="A310" s="265" t="s">
        <v>253</v>
      </c>
      <c r="B310" s="38" t="s">
        <v>89</v>
      </c>
      <c r="C310" s="38"/>
      <c r="D310" s="29"/>
      <c r="E310" s="29"/>
      <c r="F310" s="29"/>
      <c r="G310" s="29"/>
      <c r="H310" s="29"/>
      <c r="I310" s="890">
        <f>+((I217*(1-I221))/I219)*(1+I223)</f>
        <v>7732994.4025212405</v>
      </c>
      <c r="J310" s="30"/>
      <c r="K310" s="892">
        <f>+I310/$K$100</f>
        <v>4715.2404893422199</v>
      </c>
      <c r="L310" s="53"/>
      <c r="M310" s="892">
        <f>+I310/($R$64*$K$100)</f>
        <v>157.174682978074</v>
      </c>
      <c r="N310" s="53"/>
      <c r="O310" s="201">
        <f>+I310/$I$41</f>
        <v>10.042849873404208</v>
      </c>
      <c r="P310" s="53"/>
      <c r="Q310" s="203">
        <f>+I310/($I$41*$I$28)</f>
        <v>2.1367765688094061E-2</v>
      </c>
      <c r="R310" s="227"/>
    </row>
    <row r="311" spans="1:18" ht="22.8">
      <c r="A311" s="265"/>
      <c r="B311" s="38"/>
      <c r="C311" s="38"/>
      <c r="D311" s="29"/>
      <c r="E311" s="29"/>
      <c r="F311" s="29"/>
      <c r="G311" s="29"/>
      <c r="H311" s="29"/>
      <c r="I311" s="890"/>
      <c r="J311" s="30"/>
      <c r="K311" s="892"/>
      <c r="L311" s="53"/>
      <c r="M311" s="892"/>
      <c r="N311" s="53"/>
      <c r="O311" s="36"/>
      <c r="P311" s="53"/>
      <c r="Q311" s="203"/>
      <c r="R311" s="227"/>
    </row>
    <row r="312" spans="1:18" ht="22.8">
      <c r="A312" s="265" t="s">
        <v>254</v>
      </c>
      <c r="B312" s="38" t="s">
        <v>131</v>
      </c>
      <c r="C312" s="38"/>
      <c r="D312" s="29"/>
      <c r="E312" s="29"/>
      <c r="F312" s="29"/>
      <c r="G312" s="29"/>
      <c r="H312" s="29"/>
      <c r="I312" s="890">
        <f>+((I229*(1-I233))/I231)*(1+I235)</f>
        <v>271367.04205929674</v>
      </c>
      <c r="J312" s="30"/>
      <c r="K312" s="892">
        <f>+I312/$K$100</f>
        <v>165.46770857274191</v>
      </c>
      <c r="L312" s="53"/>
      <c r="M312" s="892">
        <f>+I312/($R$64*$K$100)</f>
        <v>5.5155902857580639</v>
      </c>
      <c r="N312" s="53"/>
      <c r="O312" s="201">
        <f>+I312/$I$41</f>
        <v>0.35242472994713864</v>
      </c>
      <c r="P312" s="53"/>
      <c r="Q312" s="203">
        <f>+I312/($I$41*$I$28)</f>
        <v>7.4983985095135883E-4</v>
      </c>
      <c r="R312" s="227"/>
    </row>
    <row r="313" spans="1:18" ht="22.8">
      <c r="A313" s="265"/>
      <c r="B313" s="38"/>
      <c r="C313" s="38"/>
      <c r="D313" s="29"/>
      <c r="E313" s="29"/>
      <c r="F313" s="29"/>
      <c r="G313" s="29"/>
      <c r="H313" s="29"/>
      <c r="I313" s="890"/>
      <c r="J313" s="30"/>
      <c r="K313" s="892"/>
      <c r="L313" s="53"/>
      <c r="M313" s="892"/>
      <c r="N313" s="53"/>
      <c r="O313" s="36"/>
      <c r="P313" s="53"/>
      <c r="Q313" s="96"/>
      <c r="R313" s="227"/>
    </row>
    <row r="314" spans="1:18" ht="22.8">
      <c r="A314" s="265" t="s">
        <v>255</v>
      </c>
      <c r="B314" s="209" t="s">
        <v>133</v>
      </c>
      <c r="C314" s="38"/>
      <c r="D314" s="29"/>
      <c r="E314" s="29"/>
      <c r="F314" s="29"/>
      <c r="G314" s="29"/>
      <c r="H314" s="29"/>
      <c r="I314" s="895">
        <f>SUM(I310:I312)</f>
        <v>8004361.4445805373</v>
      </c>
      <c r="J314" s="30"/>
      <c r="K314" s="895">
        <f>SUM(K310:K312)</f>
        <v>4880.7081979149616</v>
      </c>
      <c r="L314" s="53"/>
      <c r="M314" s="892">
        <f>+I314/($R$64*$K$100)</f>
        <v>162.69027326383207</v>
      </c>
      <c r="N314" s="53"/>
      <c r="O314" s="201">
        <f>+I314/$I$41</f>
        <v>10.395274603351346</v>
      </c>
      <c r="P314" s="53"/>
      <c r="Q314" s="203">
        <f>+I314/($I$41*$I$28)</f>
        <v>2.2117605539045418E-2</v>
      </c>
      <c r="R314" s="231"/>
    </row>
    <row r="315" spans="1:18" ht="22.8">
      <c r="A315" s="266"/>
      <c r="B315" s="38"/>
      <c r="C315" s="29"/>
      <c r="D315" s="29"/>
      <c r="E315" s="29"/>
      <c r="F315" s="29"/>
      <c r="G315" s="29"/>
      <c r="H315" s="29"/>
      <c r="I315" s="891"/>
      <c r="J315" s="30"/>
      <c r="K315" s="892"/>
      <c r="L315" s="53"/>
      <c r="M315" s="897"/>
      <c r="N315" s="53"/>
      <c r="O315" s="53"/>
      <c r="P315" s="53"/>
      <c r="Q315" s="54"/>
      <c r="R315" s="232"/>
    </row>
    <row r="316" spans="1:18" ht="22.8">
      <c r="A316" s="265" t="s">
        <v>151</v>
      </c>
      <c r="B316" s="211" t="s">
        <v>189</v>
      </c>
      <c r="C316" s="29"/>
      <c r="D316" s="29"/>
      <c r="E316" s="29"/>
      <c r="F316" s="29"/>
      <c r="G316" s="29"/>
      <c r="H316" s="29"/>
      <c r="I316" s="895">
        <f>+((K128*(I239*(1-I243))/I241))*(1+I245)</f>
        <v>481500</v>
      </c>
      <c r="J316" s="196"/>
      <c r="K316" s="898">
        <f>+I316/$K$100</f>
        <v>293.59756097560978</v>
      </c>
      <c r="L316" s="216"/>
      <c r="M316" s="892">
        <f>+I316/($R$64*$K$100)</f>
        <v>9.786585365853659</v>
      </c>
      <c r="N316" s="216"/>
      <c r="O316" s="201">
        <f>+I316/$I$41</f>
        <v>0.62532467532467528</v>
      </c>
      <c r="P316" s="216"/>
      <c r="Q316" s="203">
        <f>+I316/(($I$37+$I$39)*$I$28)</f>
        <v>1.3304780326056922E-3</v>
      </c>
      <c r="R316" s="233"/>
    </row>
    <row r="317" spans="1:18" ht="22.8">
      <c r="A317" s="265"/>
      <c r="B317" s="211"/>
      <c r="C317" s="29"/>
      <c r="D317" s="29"/>
      <c r="E317" s="29"/>
      <c r="F317" s="29"/>
      <c r="G317" s="29"/>
      <c r="H317" s="29"/>
      <c r="I317" s="891"/>
      <c r="J317" s="30"/>
      <c r="K317" s="899"/>
      <c r="L317" s="53"/>
      <c r="M317" s="899"/>
      <c r="N317" s="53"/>
      <c r="O317" s="36"/>
      <c r="P317" s="53"/>
      <c r="Q317" s="36"/>
      <c r="R317" s="234"/>
    </row>
    <row r="318" spans="1:18" ht="22.8">
      <c r="A318" s="265" t="s">
        <v>152</v>
      </c>
      <c r="B318" s="211" t="s">
        <v>188</v>
      </c>
      <c r="C318" s="29"/>
      <c r="D318" s="29"/>
      <c r="E318" s="29"/>
      <c r="F318" s="29"/>
      <c r="G318" s="29"/>
      <c r="H318" s="29"/>
      <c r="I318" s="890">
        <f>+((I130*(I247*(1-I251))/I249))*(1+I253)</f>
        <v>115560</v>
      </c>
      <c r="J318" s="30"/>
      <c r="K318" s="898">
        <f>+I318/$K$100</f>
        <v>70.463414634146346</v>
      </c>
      <c r="L318" s="216"/>
      <c r="M318" s="892">
        <f>+I318/($R$64*$K$100)</f>
        <v>2.3487804878048779</v>
      </c>
      <c r="N318" s="216"/>
      <c r="O318" s="201">
        <f>+I318/$I$41</f>
        <v>0.15007792207792209</v>
      </c>
      <c r="P318" s="216"/>
      <c r="Q318" s="203">
        <f>+I318/($I$41*$I$28)</f>
        <v>3.1931472782536612E-4</v>
      </c>
      <c r="R318" s="233"/>
    </row>
    <row r="319" spans="1:18" ht="22.8">
      <c r="A319" s="265"/>
      <c r="B319" s="211"/>
      <c r="C319" s="29"/>
      <c r="D319" s="29"/>
      <c r="E319" s="29"/>
      <c r="F319" s="29"/>
      <c r="G319" s="29"/>
      <c r="H319" s="29"/>
      <c r="I319" s="891"/>
      <c r="J319" s="30"/>
      <c r="K319" s="899"/>
      <c r="L319" s="53"/>
      <c r="M319" s="899"/>
      <c r="N319" s="53"/>
      <c r="O319" s="36"/>
      <c r="P319" s="53"/>
      <c r="Q319" s="36"/>
      <c r="R319" s="234"/>
    </row>
    <row r="320" spans="1:18" ht="22.8">
      <c r="A320" s="265" t="s">
        <v>181</v>
      </c>
      <c r="B320" s="211" t="s">
        <v>506</v>
      </c>
      <c r="C320" s="29"/>
      <c r="D320" s="29"/>
      <c r="E320" s="29"/>
      <c r="F320" s="29"/>
      <c r="G320" s="29"/>
      <c r="H320" s="29"/>
      <c r="I320" s="895">
        <f>+((K136*(I257*(1-I261))/I259))*(1+I263)</f>
        <v>808021.20000000007</v>
      </c>
      <c r="J320" s="30"/>
      <c r="K320" s="898">
        <f>+I320/$K$100</f>
        <v>492.69585365853663</v>
      </c>
      <c r="L320" s="53"/>
      <c r="M320" s="892">
        <f>+I320/($R$64*$K$100)</f>
        <v>16.42319512195122</v>
      </c>
      <c r="N320" s="53"/>
      <c r="O320" s="201">
        <f>+I320/$I$41</f>
        <v>1.049378181818182</v>
      </c>
      <c r="P320" s="53"/>
      <c r="Q320" s="203">
        <f>+I320/($I$41*$I$28)</f>
        <v>2.2327195357833658E-3</v>
      </c>
      <c r="R320" s="233"/>
    </row>
    <row r="321" spans="1:19" ht="22.8">
      <c r="A321" s="46"/>
      <c r="B321" s="29"/>
      <c r="C321" s="29"/>
      <c r="D321" s="29"/>
      <c r="E321" s="29"/>
      <c r="F321" s="29"/>
      <c r="G321" s="29"/>
      <c r="H321" s="29"/>
      <c r="I321" s="891"/>
      <c r="J321" s="30"/>
      <c r="K321" s="897"/>
      <c r="L321" s="53"/>
      <c r="M321" s="897"/>
      <c r="N321" s="53"/>
      <c r="O321" s="53"/>
      <c r="P321" s="53"/>
      <c r="Q321" s="54"/>
      <c r="R321" s="232"/>
    </row>
    <row r="322" spans="1:19" ht="22.8">
      <c r="A322" s="265" t="s">
        <v>256</v>
      </c>
      <c r="B322" s="29"/>
      <c r="C322" s="45" t="s">
        <v>137</v>
      </c>
      <c r="D322" s="29"/>
      <c r="E322" s="29"/>
      <c r="F322" s="29"/>
      <c r="G322" s="29"/>
      <c r="H322" s="29"/>
      <c r="I322" s="894">
        <f>+I314+I316+I318+I320</f>
        <v>9409442.6445805356</v>
      </c>
      <c r="J322" s="30"/>
      <c r="K322" s="894">
        <f>+K314+K316+K318+K320</f>
        <v>5737.4650271832543</v>
      </c>
      <c r="L322" s="53"/>
      <c r="M322" s="894">
        <f>+M314+M316+M318+M320</f>
        <v>191.24883423944181</v>
      </c>
      <c r="N322" s="53"/>
      <c r="O322" s="207">
        <f>+O314+O316+O318+O320</f>
        <v>12.220055382572127</v>
      </c>
      <c r="P322" s="53"/>
      <c r="Q322" s="208">
        <f>+Q314+Q316+Q318+Q320</f>
        <v>2.6000117835259844E-2</v>
      </c>
      <c r="R322" s="230"/>
    </row>
    <row r="323" spans="1:19" ht="17.399999999999999">
      <c r="A323" s="274"/>
      <c r="B323" s="55"/>
      <c r="C323" s="56"/>
      <c r="D323" s="56"/>
      <c r="E323" s="56"/>
      <c r="F323" s="56"/>
      <c r="G323" s="56"/>
      <c r="H323" s="56"/>
      <c r="I323" s="891"/>
      <c r="J323" s="30"/>
      <c r="K323" s="900"/>
      <c r="L323" s="56"/>
      <c r="M323" s="900"/>
      <c r="N323" s="56"/>
      <c r="O323" s="57"/>
      <c r="P323" s="57"/>
      <c r="Q323" s="56"/>
      <c r="R323" s="235"/>
    </row>
    <row r="324" spans="1:19" ht="24.6">
      <c r="A324" s="275" t="s">
        <v>257</v>
      </c>
      <c r="B324" s="55"/>
      <c r="C324" s="56"/>
      <c r="D324" s="56"/>
      <c r="E324" s="56"/>
      <c r="F324" s="56"/>
      <c r="G324" s="56"/>
      <c r="H324" s="56"/>
      <c r="I324" s="896">
        <f>+I322+I304+I296+I285</f>
        <v>28104855.515894063</v>
      </c>
      <c r="J324" s="30"/>
      <c r="K324" s="896">
        <f>+K322+K304+K296+K285</f>
        <v>17137.107021886623</v>
      </c>
      <c r="L324" s="56"/>
      <c r="M324" s="896">
        <f>+M322+M304+M296+M285</f>
        <v>571.23690072955412</v>
      </c>
      <c r="N324" s="56"/>
      <c r="O324" s="222">
        <f>+O322+O304+O296+O285</f>
        <v>36.499812358303984</v>
      </c>
      <c r="P324" s="57"/>
      <c r="Q324" s="223">
        <f>+Q322+Q304+Q296+Q285</f>
        <v>7.7659175230434002E-2</v>
      </c>
      <c r="R324" s="236"/>
    </row>
    <row r="325" spans="1:19" ht="25.2" thickBot="1">
      <c r="A325" s="275"/>
      <c r="B325" s="55"/>
      <c r="C325" s="56"/>
      <c r="D325" s="56"/>
      <c r="E325" s="56"/>
      <c r="F325" s="56"/>
      <c r="G325" s="56"/>
      <c r="H325" s="56"/>
      <c r="I325" s="896"/>
      <c r="J325" s="30"/>
      <c r="K325" s="896"/>
      <c r="L325" s="56"/>
      <c r="M325" s="896"/>
      <c r="N325" s="56"/>
      <c r="O325" s="222"/>
      <c r="P325" s="57"/>
      <c r="Q325" s="223"/>
      <c r="R325" s="236"/>
    </row>
    <row r="326" spans="1:19" ht="25.8" thickTop="1" thickBot="1">
      <c r="A326" s="428" t="s">
        <v>937</v>
      </c>
      <c r="B326" s="429"/>
      <c r="C326" s="430"/>
      <c r="D326" s="430"/>
      <c r="E326" s="430"/>
      <c r="F326" s="430"/>
      <c r="G326" s="430"/>
      <c r="H326" s="430"/>
      <c r="I326" s="938">
        <f>+I285</f>
        <v>10622730.196297849</v>
      </c>
      <c r="J326" s="418"/>
      <c r="K326" s="938">
        <f>+I326/K100</f>
        <v>6477.2745099377125</v>
      </c>
      <c r="L326" s="440"/>
      <c r="M326" s="938">
        <f>+I326/(K100*R64)</f>
        <v>215.90915033125708</v>
      </c>
      <c r="N326" s="441"/>
      <c r="O326" s="1018">
        <f>+I326/I41</f>
        <v>13.795753501685518</v>
      </c>
      <c r="P326" s="442"/>
      <c r="Q326" s="1019">
        <f>+I326/(I41*I28)</f>
        <v>2.9352667024862805E-2</v>
      </c>
      <c r="R326" s="443"/>
    </row>
    <row r="327" spans="1:19" ht="16.2" thickTop="1" thickBot="1">
      <c r="A327" s="291"/>
      <c r="B327" s="253"/>
      <c r="C327" s="253"/>
      <c r="D327" s="253"/>
      <c r="E327" s="253"/>
      <c r="F327" s="253"/>
      <c r="G327" s="253"/>
      <c r="H327" s="253"/>
      <c r="I327" s="252"/>
      <c r="J327" s="253"/>
      <c r="K327" s="1011"/>
      <c r="L327" s="253"/>
      <c r="M327" s="1011"/>
      <c r="N327" s="253"/>
      <c r="O327" s="253"/>
      <c r="P327" s="253"/>
      <c r="Q327" s="296"/>
      <c r="R327" s="1023"/>
    </row>
    <row r="328" spans="1:19" ht="25.8" thickTop="1" thickBot="1">
      <c r="A328" s="732" t="s">
        <v>915</v>
      </c>
      <c r="B328" s="733"/>
      <c r="C328" s="734"/>
      <c r="D328" s="734"/>
      <c r="E328" s="734"/>
      <c r="F328" s="734"/>
      <c r="G328" s="734"/>
      <c r="H328" s="734"/>
      <c r="I328" s="940">
        <f>+I326+I316+I318+I320</f>
        <v>12027811.396297848</v>
      </c>
      <c r="J328" s="735"/>
      <c r="K328" s="940">
        <f>+I328/K100</f>
        <v>7334.0313392060052</v>
      </c>
      <c r="L328" s="737"/>
      <c r="M328" s="940">
        <f>+I328/(K100*R64)</f>
        <v>244.46771130686682</v>
      </c>
      <c r="N328" s="734"/>
      <c r="O328" s="1020">
        <f>+I328/I41</f>
        <v>15.620534280906297</v>
      </c>
      <c r="P328" s="735"/>
      <c r="Q328" s="1021">
        <f>+I328/(I41*I28)</f>
        <v>3.3235179321077224E-2</v>
      </c>
      <c r="R328" s="969"/>
      <c r="S328" s="963"/>
    </row>
    <row r="329" spans="1:19" ht="25.8" thickTop="1" thickBot="1">
      <c r="A329" s="712"/>
      <c r="B329" s="713"/>
      <c r="C329" s="714"/>
      <c r="D329" s="714"/>
      <c r="E329" s="714"/>
      <c r="F329" s="714"/>
      <c r="G329" s="714"/>
      <c r="H329" s="714"/>
      <c r="I329" s="939"/>
      <c r="J329" s="715"/>
      <c r="K329" s="444"/>
      <c r="L329" s="714"/>
      <c r="M329" s="444"/>
      <c r="N329" s="714"/>
      <c r="O329" s="716"/>
      <c r="P329" s="715"/>
      <c r="Q329" s="717"/>
      <c r="R329" s="970"/>
      <c r="S329" s="716"/>
    </row>
    <row r="330" spans="1:19" ht="25.8" thickTop="1" thickBot="1">
      <c r="A330" s="742" t="s">
        <v>938</v>
      </c>
      <c r="B330" s="743"/>
      <c r="C330" s="744"/>
      <c r="D330" s="744"/>
      <c r="E330" s="744"/>
      <c r="F330" s="744"/>
      <c r="G330" s="744"/>
      <c r="H330" s="744"/>
      <c r="I330" s="941">
        <f>+I328+I314+I296+I304</f>
        <v>28104855.51589407</v>
      </c>
      <c r="J330" s="745"/>
      <c r="K330" s="941">
        <f>+I330/K100</f>
        <v>17137.10702188663</v>
      </c>
      <c r="L330" s="747"/>
      <c r="M330" s="941">
        <f>+I330/(K100*R64)</f>
        <v>571.23690072955424</v>
      </c>
      <c r="N330" s="744"/>
      <c r="O330" s="1243">
        <f>+I330/I41</f>
        <v>36.499812358303984</v>
      </c>
      <c r="P330" s="745"/>
      <c r="Q330" s="1022">
        <f>+I330/(I41*I28)</f>
        <v>7.7659175230434016E-2</v>
      </c>
      <c r="R330" s="971"/>
      <c r="S330" s="966"/>
    </row>
    <row r="331" spans="1:19" ht="15.6" thickTop="1">
      <c r="A331" s="276"/>
      <c r="B331" s="1015"/>
      <c r="C331" s="1015"/>
      <c r="D331" s="1015"/>
      <c r="E331" s="1015"/>
      <c r="F331" s="1015"/>
      <c r="G331" s="1015"/>
      <c r="H331" s="1015"/>
      <c r="I331" s="1016"/>
      <c r="J331" s="1015"/>
      <c r="K331" s="1017"/>
      <c r="L331" s="1015"/>
      <c r="M331" s="1017"/>
      <c r="N331" s="1015"/>
      <c r="O331" s="1015"/>
      <c r="P331" s="1015"/>
      <c r="Q331" s="237"/>
      <c r="R331" s="225"/>
    </row>
    <row r="332" spans="1:19" ht="15.6" thickBot="1">
      <c r="A332" s="276"/>
      <c r="B332" s="1015"/>
      <c r="C332" s="1015"/>
      <c r="D332" s="1015"/>
      <c r="E332" s="1015"/>
      <c r="F332" s="1015"/>
      <c r="G332" s="1015"/>
      <c r="H332" s="1015"/>
      <c r="I332" s="1016"/>
      <c r="J332" s="1015"/>
      <c r="K332" s="1017"/>
      <c r="L332" s="1015"/>
      <c r="M332" s="1017"/>
      <c r="N332" s="1015"/>
      <c r="O332" s="1015"/>
      <c r="P332" s="1015"/>
      <c r="Q332" s="237"/>
      <c r="R332" s="225"/>
    </row>
    <row r="333" spans="1:19" ht="23.4" thickTop="1">
      <c r="A333" s="1098" t="s">
        <v>200</v>
      </c>
      <c r="B333" s="1099"/>
      <c r="C333" s="1099"/>
      <c r="D333" s="1099"/>
      <c r="E333" s="1099"/>
      <c r="F333" s="1099"/>
      <c r="G333" s="1099"/>
      <c r="H333" s="1099"/>
      <c r="I333" s="1100"/>
      <c r="J333" s="1101"/>
      <c r="K333" s="1128"/>
      <c r="L333" s="1102"/>
      <c r="M333" s="1128"/>
      <c r="N333" s="1102"/>
      <c r="O333" s="1102"/>
      <c r="P333" s="1102"/>
      <c r="Q333" s="1102"/>
      <c r="R333" s="1103"/>
    </row>
    <row r="334" spans="1:19">
      <c r="A334" s="276"/>
      <c r="B334" s="30"/>
      <c r="C334" s="30"/>
      <c r="D334" s="30"/>
      <c r="E334" s="30"/>
      <c r="F334" s="30"/>
      <c r="G334" s="30"/>
      <c r="H334" s="30"/>
      <c r="I334" s="199"/>
      <c r="J334" s="30"/>
      <c r="K334" s="899"/>
      <c r="L334" s="30"/>
      <c r="M334" s="899"/>
      <c r="N334" s="30"/>
      <c r="O334" s="30"/>
      <c r="P334" s="30"/>
      <c r="Q334" s="28"/>
      <c r="R334" s="225"/>
    </row>
    <row r="335" spans="1:19" ht="24.6">
      <c r="A335" s="293" t="s">
        <v>153</v>
      </c>
      <c r="B335" s="294" t="s">
        <v>154</v>
      </c>
      <c r="C335" s="294"/>
      <c r="D335" s="294"/>
      <c r="E335" s="294"/>
      <c r="F335" s="295"/>
      <c r="G335" s="29"/>
      <c r="H335" s="29"/>
      <c r="I335" s="36"/>
      <c r="J335" s="29"/>
      <c r="K335" s="897"/>
      <c r="L335" s="29"/>
      <c r="M335" s="897"/>
      <c r="N335" s="29"/>
      <c r="O335" s="29"/>
      <c r="P335" s="29">
        <f>0.3912*257</f>
        <v>100.5384</v>
      </c>
      <c r="Q335" s="29"/>
      <c r="R335" s="225"/>
    </row>
    <row r="336" spans="1:19" ht="22.8">
      <c r="A336" s="46"/>
      <c r="B336" s="29"/>
      <c r="C336" s="29"/>
      <c r="D336" s="29"/>
      <c r="E336" s="29"/>
      <c r="F336" s="29"/>
      <c r="G336" s="29"/>
      <c r="H336" s="29"/>
      <c r="I336" s="197" t="s">
        <v>107</v>
      </c>
      <c r="J336" s="30"/>
      <c r="K336" s="1012" t="s">
        <v>105</v>
      </c>
      <c r="L336" s="30"/>
      <c r="M336" s="1013" t="s">
        <v>488</v>
      </c>
      <c r="N336" s="52"/>
      <c r="O336" s="52" t="s">
        <v>489</v>
      </c>
      <c r="P336" s="30"/>
      <c r="Q336" s="52" t="s">
        <v>489</v>
      </c>
      <c r="R336" s="226"/>
    </row>
    <row r="337" spans="1:18" ht="22.8">
      <c r="A337" s="272" t="s">
        <v>155</v>
      </c>
      <c r="B337" s="195" t="s">
        <v>103</v>
      </c>
      <c r="C337" s="29"/>
      <c r="D337" s="29"/>
      <c r="E337" s="29"/>
      <c r="F337" s="29"/>
      <c r="G337" s="29"/>
      <c r="H337" s="29"/>
      <c r="I337" s="30"/>
      <c r="J337" s="30"/>
      <c r="K337" s="1013" t="s">
        <v>106</v>
      </c>
      <c r="L337" s="29"/>
      <c r="M337" s="1013" t="s">
        <v>491</v>
      </c>
      <c r="N337" s="29"/>
      <c r="O337" s="52" t="s">
        <v>104</v>
      </c>
      <c r="P337" s="35"/>
      <c r="Q337" s="52" t="s">
        <v>537</v>
      </c>
      <c r="R337" s="226"/>
    </row>
    <row r="338" spans="1:18" ht="22.8">
      <c r="A338" s="46"/>
      <c r="B338" s="29"/>
      <c r="C338" s="29"/>
      <c r="D338" s="29"/>
      <c r="E338" s="29"/>
      <c r="F338" s="29"/>
      <c r="G338" s="29"/>
      <c r="H338" s="29"/>
      <c r="I338" s="30"/>
      <c r="J338" s="30"/>
      <c r="K338" s="1013"/>
      <c r="L338" s="29"/>
      <c r="M338" s="1013"/>
      <c r="N338" s="29"/>
      <c r="O338" s="52"/>
      <c r="P338" s="35"/>
      <c r="Q338" s="52"/>
      <c r="R338" s="226"/>
    </row>
    <row r="339" spans="1:18" ht="22.8">
      <c r="A339" s="265" t="s">
        <v>258</v>
      </c>
      <c r="B339" s="38" t="s">
        <v>493</v>
      </c>
      <c r="C339" s="29"/>
      <c r="D339" s="29"/>
      <c r="E339" s="29"/>
      <c r="F339" s="29"/>
      <c r="G339" s="29"/>
      <c r="H339" s="29"/>
      <c r="I339" s="890">
        <f>+I118*M182</f>
        <v>1115129.7705506205</v>
      </c>
      <c r="J339" s="30"/>
      <c r="K339" s="892">
        <f>+I339/$K$100</f>
        <v>679.95717716501247</v>
      </c>
      <c r="L339" s="53"/>
      <c r="M339" s="892">
        <f>+I339/($R$64*$K$100)</f>
        <v>22.665239238833749</v>
      </c>
      <c r="N339" s="53"/>
      <c r="O339" s="201">
        <f>+I339/$I$41</f>
        <v>1.448220481234572</v>
      </c>
      <c r="P339" s="53"/>
      <c r="Q339" s="203">
        <f>+I339/($I$41*$I$28)</f>
        <v>3.0813201728395151E-3</v>
      </c>
      <c r="R339" s="227"/>
    </row>
    <row r="340" spans="1:18" ht="22.8">
      <c r="A340" s="46"/>
      <c r="B340" s="29"/>
      <c r="C340" s="29"/>
      <c r="D340" s="29"/>
      <c r="E340" s="29"/>
      <c r="F340" s="29"/>
      <c r="G340" s="29"/>
      <c r="H340" s="29"/>
      <c r="I340" s="891"/>
      <c r="J340" s="30"/>
      <c r="K340" s="892"/>
      <c r="L340" s="53"/>
      <c r="M340" s="897"/>
      <c r="N340" s="53"/>
      <c r="O340" s="53"/>
      <c r="P340" s="53"/>
      <c r="Q340" s="54"/>
      <c r="R340" s="228"/>
    </row>
    <row r="341" spans="1:18" ht="22.8">
      <c r="A341" s="265" t="s">
        <v>159</v>
      </c>
      <c r="B341" s="86" t="s">
        <v>525</v>
      </c>
      <c r="C341" s="29"/>
      <c r="D341" s="29"/>
      <c r="E341" s="29"/>
      <c r="F341" s="29"/>
      <c r="G341" s="29"/>
      <c r="H341" s="29"/>
      <c r="I341" s="890">
        <f>+I152*M184</f>
        <v>3369130.5744125326</v>
      </c>
      <c r="J341" s="30"/>
      <c r="K341" s="892">
        <f>+I341/$K$100</f>
        <v>2054.3479112271539</v>
      </c>
      <c r="L341" s="53"/>
      <c r="M341" s="892">
        <f>+I341/($R$64*$K$100)</f>
        <v>68.478263707571799</v>
      </c>
      <c r="N341" s="53"/>
      <c r="O341" s="201">
        <f>+I341/$I$41</f>
        <v>4.3754942524838087</v>
      </c>
      <c r="P341" s="53"/>
      <c r="Q341" s="203">
        <f>+I341/($I$41*$I$28)</f>
        <v>9.3095622393272529E-3</v>
      </c>
      <c r="R341" s="227"/>
    </row>
    <row r="342" spans="1:18" ht="22.8">
      <c r="A342" s="46"/>
      <c r="B342" s="29"/>
      <c r="C342" s="29"/>
      <c r="D342" s="29"/>
      <c r="E342" s="29"/>
      <c r="F342" s="29"/>
      <c r="G342" s="29"/>
      <c r="H342" s="29"/>
      <c r="I342" s="891"/>
      <c r="J342" s="30"/>
      <c r="K342" s="892"/>
      <c r="L342" s="53"/>
      <c r="M342" s="897"/>
      <c r="N342" s="53"/>
      <c r="O342" s="53"/>
      <c r="P342" s="53"/>
      <c r="Q342" s="54"/>
      <c r="R342" s="228"/>
    </row>
    <row r="343" spans="1:18" ht="22.8">
      <c r="A343" s="265" t="s">
        <v>160</v>
      </c>
      <c r="B343" s="38" t="s">
        <v>496</v>
      </c>
      <c r="C343" s="29"/>
      <c r="D343" s="29"/>
      <c r="E343" s="29"/>
      <c r="F343" s="29"/>
      <c r="G343" s="29"/>
      <c r="H343" s="29"/>
      <c r="I343" s="890">
        <f>+(I140*1000)*M188</f>
        <v>718296.35484444466</v>
      </c>
      <c r="J343" s="30"/>
      <c r="K343" s="892">
        <f>+I343/$K$100</f>
        <v>437.98558222222238</v>
      </c>
      <c r="L343" s="53"/>
      <c r="M343" s="892">
        <f>+I343/($R$64*$K$100)</f>
        <v>14.599519407407412</v>
      </c>
      <c r="N343" s="53"/>
      <c r="O343" s="201">
        <f>+I343/$I$41</f>
        <v>0.93285240888888921</v>
      </c>
      <c r="P343" s="53"/>
      <c r="Q343" s="203">
        <f>+I343/($I$41*$I$28)</f>
        <v>1.9847923593380619E-3</v>
      </c>
      <c r="R343" s="227"/>
    </row>
    <row r="344" spans="1:18" ht="22.8">
      <c r="A344" s="46"/>
      <c r="B344" s="29"/>
      <c r="C344" s="29"/>
      <c r="D344" s="29"/>
      <c r="E344" s="29"/>
      <c r="F344" s="29"/>
      <c r="G344" s="29"/>
      <c r="H344" s="29"/>
      <c r="I344" s="891"/>
      <c r="J344" s="30"/>
      <c r="K344" s="897"/>
      <c r="L344" s="53"/>
      <c r="M344" s="897"/>
      <c r="N344" s="53"/>
      <c r="O344" s="53"/>
      <c r="P344" s="53"/>
      <c r="Q344" s="54"/>
      <c r="R344" s="228"/>
    </row>
    <row r="345" spans="1:18" ht="22.8">
      <c r="A345" s="265" t="s">
        <v>161</v>
      </c>
      <c r="B345" s="38" t="s">
        <v>498</v>
      </c>
      <c r="C345" s="29"/>
      <c r="D345" s="29"/>
      <c r="E345" s="29"/>
      <c r="F345" s="29"/>
      <c r="G345" s="29"/>
      <c r="H345" s="29"/>
      <c r="I345" s="890">
        <f>+(I142*1000)*M190</f>
        <v>2643913.5309278355</v>
      </c>
      <c r="J345" s="30"/>
      <c r="K345" s="892">
        <f>+I345/$K$100</f>
        <v>1612.1423969072168</v>
      </c>
      <c r="L345" s="53"/>
      <c r="M345" s="892">
        <f>+I345/($R$64*$K$100)</f>
        <v>53.738079896907223</v>
      </c>
      <c r="N345" s="53"/>
      <c r="O345" s="201">
        <f>+I345/$I$41</f>
        <v>3.4336539362699163</v>
      </c>
      <c r="P345" s="53"/>
      <c r="Q345" s="203">
        <f>+I345/($I$41*$I$28)</f>
        <v>7.3056466729147151E-3</v>
      </c>
      <c r="R345" s="227"/>
    </row>
    <row r="346" spans="1:18" ht="22.8">
      <c r="A346" s="39"/>
      <c r="B346" s="29"/>
      <c r="C346" s="29"/>
      <c r="D346" s="29"/>
      <c r="E346" s="29"/>
      <c r="F346" s="29"/>
      <c r="G346" s="29"/>
      <c r="H346" s="29"/>
      <c r="I346" s="891"/>
      <c r="J346" s="30"/>
      <c r="K346" s="897"/>
      <c r="L346" s="53"/>
      <c r="M346" s="897"/>
      <c r="N346" s="53"/>
      <c r="O346" s="53"/>
      <c r="P346" s="53"/>
      <c r="Q346" s="90"/>
      <c r="R346" s="228"/>
    </row>
    <row r="347" spans="1:18" ht="22.8">
      <c r="A347" s="265" t="s">
        <v>162</v>
      </c>
      <c r="B347" s="38" t="s">
        <v>500</v>
      </c>
      <c r="C347" s="29"/>
      <c r="D347" s="29"/>
      <c r="E347" s="29"/>
      <c r="F347" s="29"/>
      <c r="G347" s="29"/>
      <c r="H347" s="29"/>
      <c r="I347" s="890">
        <f>+(I146*1000)*M192</f>
        <v>398962.41408581537</v>
      </c>
      <c r="J347" s="30"/>
      <c r="K347" s="892">
        <f>+I347/$K$100</f>
        <v>243.2697646864728</v>
      </c>
      <c r="L347" s="53"/>
      <c r="M347" s="892">
        <f>+I347/($R$64*$K$100)</f>
        <v>8.1089921562157592</v>
      </c>
      <c r="N347" s="53"/>
      <c r="O347" s="201">
        <f>+I347/$I$41</f>
        <v>0.51813300530625372</v>
      </c>
      <c r="P347" s="53"/>
      <c r="Q347" s="203">
        <f>+I347/($I$41*$I$28)</f>
        <v>1.1024106495877738E-3</v>
      </c>
      <c r="R347" s="227"/>
    </row>
    <row r="348" spans="1:18" ht="22.8">
      <c r="A348" s="266"/>
      <c r="B348" s="38"/>
      <c r="C348" s="29"/>
      <c r="D348" s="29"/>
      <c r="E348" s="29"/>
      <c r="F348" s="29"/>
      <c r="G348" s="29"/>
      <c r="H348" s="29"/>
      <c r="I348" s="891"/>
      <c r="J348" s="30"/>
      <c r="K348" s="892"/>
      <c r="L348" s="53"/>
      <c r="M348" s="897"/>
      <c r="N348" s="53"/>
      <c r="O348" s="53"/>
      <c r="P348" s="53"/>
      <c r="Q348" s="90"/>
      <c r="R348" s="228"/>
    </row>
    <row r="349" spans="1:18" ht="22.8">
      <c r="A349" s="265" t="s">
        <v>259</v>
      </c>
      <c r="B349" s="38" t="s">
        <v>502</v>
      </c>
      <c r="C349" s="29"/>
      <c r="D349" s="29"/>
      <c r="E349" s="29"/>
      <c r="F349" s="29"/>
      <c r="G349" s="29"/>
      <c r="H349" s="29"/>
      <c r="I349" s="890">
        <f>+K100*I64*M198</f>
        <v>261880.56596402326</v>
      </c>
      <c r="J349" s="30"/>
      <c r="K349" s="892">
        <f>+I349/$K$100</f>
        <v>159.68327192928248</v>
      </c>
      <c r="L349" s="53"/>
      <c r="M349" s="892">
        <f>+I349/($R$64*$K$100)</f>
        <v>5.3227757309760824</v>
      </c>
      <c r="N349" s="53"/>
      <c r="O349" s="201">
        <f>+I349/$I$41</f>
        <v>0.34010463112210815</v>
      </c>
      <c r="P349" s="53"/>
      <c r="Q349" s="203">
        <f>+I349/($I$41*$I$28)</f>
        <v>7.2362687472788962E-4</v>
      </c>
      <c r="R349" s="227"/>
    </row>
    <row r="350" spans="1:18" ht="22.8">
      <c r="A350" s="266"/>
      <c r="B350" s="38"/>
      <c r="C350" s="29"/>
      <c r="D350" s="29"/>
      <c r="E350" s="29"/>
      <c r="F350" s="29"/>
      <c r="G350" s="29"/>
      <c r="H350" s="29"/>
      <c r="I350" s="891"/>
      <c r="J350" s="30"/>
      <c r="K350" s="892"/>
      <c r="L350" s="53"/>
      <c r="M350" s="897"/>
      <c r="N350" s="53"/>
      <c r="O350" s="53"/>
      <c r="P350" s="53"/>
      <c r="Q350" s="54"/>
      <c r="R350" s="228"/>
    </row>
    <row r="351" spans="1:18" ht="22.8">
      <c r="A351" s="265" t="s">
        <v>164</v>
      </c>
      <c r="B351" s="38" t="s">
        <v>144</v>
      </c>
      <c r="C351" s="29"/>
      <c r="D351" s="29"/>
      <c r="E351" s="29"/>
      <c r="F351" s="29"/>
      <c r="G351" s="29"/>
      <c r="H351" s="29"/>
      <c r="I351" s="890"/>
      <c r="J351" s="30"/>
      <c r="K351" s="892"/>
      <c r="L351" s="53"/>
      <c r="M351" s="892"/>
      <c r="N351" s="53"/>
      <c r="O351" s="201"/>
      <c r="P351" s="53"/>
      <c r="Q351" s="203"/>
      <c r="R351" s="227"/>
    </row>
    <row r="352" spans="1:18" ht="22.8">
      <c r="A352" s="266"/>
      <c r="B352" s="38"/>
      <c r="C352" s="29"/>
      <c r="D352" s="29"/>
      <c r="E352" s="29"/>
      <c r="F352" s="29"/>
      <c r="G352" s="29"/>
      <c r="H352" s="29"/>
      <c r="I352" s="891"/>
      <c r="J352" s="30"/>
      <c r="K352" s="892"/>
      <c r="L352" s="53"/>
      <c r="M352" s="897"/>
      <c r="N352" s="53"/>
      <c r="O352" s="53"/>
      <c r="P352" s="53"/>
      <c r="Q352" s="54"/>
      <c r="R352" s="228"/>
    </row>
    <row r="353" spans="1:18" ht="22.8">
      <c r="A353" s="265" t="s">
        <v>165</v>
      </c>
      <c r="B353" s="38"/>
      <c r="C353" s="45" t="s">
        <v>110</v>
      </c>
      <c r="D353" s="29"/>
      <c r="E353" s="29"/>
      <c r="F353" s="29"/>
      <c r="G353" s="29"/>
      <c r="H353" s="29"/>
      <c r="I353" s="893">
        <f>SUM(I339:I351)</f>
        <v>8507313.2107852716</v>
      </c>
      <c r="J353" s="30"/>
      <c r="K353" s="893">
        <f>SUM(K339:K351)</f>
        <v>5187.3861041373611</v>
      </c>
      <c r="L353" s="53"/>
      <c r="M353" s="893">
        <f>SUM(M339:M351)</f>
        <v>172.91287013791202</v>
      </c>
      <c r="N353" s="53"/>
      <c r="O353" s="202">
        <f>SUM(O339:O351)</f>
        <v>11.048458715305548</v>
      </c>
      <c r="P353" s="53"/>
      <c r="Q353" s="204">
        <f>SUM(Q339:Q351)</f>
        <v>2.3507358968735209E-2</v>
      </c>
      <c r="R353" s="229"/>
    </row>
    <row r="354" spans="1:18" ht="22.8">
      <c r="A354" s="266"/>
      <c r="B354" s="38"/>
      <c r="C354" s="29"/>
      <c r="D354" s="29"/>
      <c r="E354" s="29"/>
      <c r="F354" s="29"/>
      <c r="G354" s="29"/>
      <c r="H354" s="29"/>
      <c r="I354" s="891"/>
      <c r="J354" s="30"/>
      <c r="K354" s="892"/>
      <c r="L354" s="53"/>
      <c r="M354" s="897"/>
      <c r="N354" s="53"/>
      <c r="O354" s="53"/>
      <c r="P354" s="53"/>
      <c r="Q354" s="54"/>
      <c r="R354" s="228"/>
    </row>
    <row r="355" spans="1:18" ht="22.8">
      <c r="A355" s="273" t="s">
        <v>163</v>
      </c>
      <c r="B355" s="195" t="s">
        <v>124</v>
      </c>
      <c r="C355" s="29"/>
      <c r="D355" s="29"/>
      <c r="E355" s="29"/>
      <c r="F355" s="29"/>
      <c r="G355" s="29"/>
      <c r="H355" s="29"/>
      <c r="I355" s="891"/>
      <c r="J355" s="30"/>
      <c r="K355" s="892"/>
      <c r="L355" s="53"/>
      <c r="M355" s="897"/>
      <c r="N355" s="53"/>
      <c r="O355" s="53"/>
      <c r="P355" s="53"/>
      <c r="Q355" s="54"/>
      <c r="R355" s="228"/>
    </row>
    <row r="356" spans="1:18" ht="22.8">
      <c r="A356" s="266"/>
      <c r="B356" s="38"/>
      <c r="C356" s="29"/>
      <c r="D356" s="29"/>
      <c r="E356" s="29"/>
      <c r="F356" s="29"/>
      <c r="G356" s="29"/>
      <c r="H356" s="29"/>
      <c r="I356" s="891"/>
      <c r="J356" s="30"/>
      <c r="K356" s="892"/>
      <c r="L356" s="53"/>
      <c r="M356" s="897"/>
      <c r="N356" s="53"/>
      <c r="O356" s="53"/>
      <c r="P356" s="53"/>
      <c r="Q356" s="54"/>
      <c r="R356" s="228"/>
    </row>
    <row r="357" spans="1:18" ht="22.8">
      <c r="A357" s="265" t="s">
        <v>166</v>
      </c>
      <c r="B357" s="38" t="s">
        <v>511</v>
      </c>
      <c r="C357" s="29"/>
      <c r="D357" s="29"/>
      <c r="E357" s="29"/>
      <c r="F357" s="29"/>
      <c r="G357" s="29"/>
      <c r="H357" s="29"/>
      <c r="I357" s="890">
        <f>+M194*I158</f>
        <v>2098848.9600000004</v>
      </c>
      <c r="J357" s="30"/>
      <c r="K357" s="892">
        <f>+I357/$K$100</f>
        <v>1279.7859512195125</v>
      </c>
      <c r="L357" s="53"/>
      <c r="M357" s="892">
        <f>+I357/($R$64*$K$100)</f>
        <v>42.659531707317079</v>
      </c>
      <c r="N357" s="53"/>
      <c r="O357" s="201">
        <f>+I357/$I$41</f>
        <v>2.7257778701298707</v>
      </c>
      <c r="P357" s="53"/>
      <c r="Q357" s="203">
        <f>+I357/($I$41*$I$28)</f>
        <v>5.7995273832550437E-3</v>
      </c>
      <c r="R357" s="227"/>
    </row>
    <row r="358" spans="1:18" ht="22.8">
      <c r="A358" s="266"/>
      <c r="B358" s="38"/>
      <c r="C358" s="29"/>
      <c r="D358" s="29"/>
      <c r="E358" s="29"/>
      <c r="F358" s="29"/>
      <c r="G358" s="29"/>
      <c r="H358" s="29"/>
      <c r="I358" s="891"/>
      <c r="J358" s="30"/>
      <c r="K358" s="892"/>
      <c r="L358" s="53"/>
      <c r="M358" s="897"/>
      <c r="N358" s="53"/>
      <c r="O358" s="53"/>
      <c r="P358" s="53"/>
      <c r="Q358" s="54"/>
      <c r="R358" s="228"/>
    </row>
    <row r="359" spans="1:18" ht="22.8">
      <c r="A359" s="265" t="s">
        <v>167</v>
      </c>
      <c r="B359" s="38" t="s">
        <v>126</v>
      </c>
      <c r="C359" s="29"/>
      <c r="D359" s="29"/>
      <c r="E359" s="29"/>
      <c r="F359" s="29"/>
      <c r="G359" s="29"/>
      <c r="H359" s="29"/>
      <c r="I359" s="890">
        <f>+I28*M196</f>
        <v>1220067.2897196263</v>
      </c>
      <c r="J359" s="30"/>
      <c r="K359" s="892">
        <f>+I359/$K$100</f>
        <v>743.94346934123553</v>
      </c>
      <c r="L359" s="53"/>
      <c r="M359" s="892">
        <f>+I359/($R$64*$K$100)</f>
        <v>24.798115644707853</v>
      </c>
      <c r="N359" s="53"/>
      <c r="O359" s="201">
        <f>+I359/$I$41</f>
        <v>1.5845029736618523</v>
      </c>
      <c r="P359" s="53"/>
      <c r="Q359" s="203">
        <f>+I359/($I$41*$I$28)</f>
        <v>3.371282922684792E-3</v>
      </c>
      <c r="R359" s="227"/>
    </row>
    <row r="360" spans="1:18" ht="22.8">
      <c r="A360" s="266"/>
      <c r="B360" s="38"/>
      <c r="C360" s="29"/>
      <c r="D360" s="29"/>
      <c r="E360" s="29"/>
      <c r="F360" s="29"/>
      <c r="G360" s="29"/>
      <c r="H360" s="29"/>
      <c r="I360" s="891"/>
      <c r="J360" s="30"/>
      <c r="K360" s="892"/>
      <c r="L360" s="53"/>
      <c r="M360" s="897"/>
      <c r="N360" s="53"/>
      <c r="O360" s="53"/>
      <c r="P360" s="53"/>
      <c r="Q360" s="54"/>
      <c r="R360" s="228"/>
    </row>
    <row r="361" spans="1:18" ht="22.8">
      <c r="A361" s="265" t="s">
        <v>169</v>
      </c>
      <c r="B361" s="38" t="s">
        <v>127</v>
      </c>
      <c r="C361" s="29"/>
      <c r="D361" s="29"/>
      <c r="E361" s="29"/>
      <c r="F361" s="29"/>
      <c r="G361" s="29"/>
      <c r="H361" s="29"/>
      <c r="I361" s="890">
        <f>+M200</f>
        <v>0</v>
      </c>
      <c r="J361" s="30"/>
      <c r="K361" s="892">
        <f>+I361/$K$100</f>
        <v>0</v>
      </c>
      <c r="L361" s="53"/>
      <c r="M361" s="892">
        <f>+I361/($R$64*$K$100)</f>
        <v>0</v>
      </c>
      <c r="N361" s="53"/>
      <c r="O361" s="201">
        <f>+I361/$I$41</f>
        <v>0</v>
      </c>
      <c r="P361" s="53"/>
      <c r="Q361" s="203">
        <f>+I361/($I$41*$I$28)</f>
        <v>0</v>
      </c>
      <c r="R361" s="227"/>
    </row>
    <row r="362" spans="1:18" ht="22.8">
      <c r="A362" s="266"/>
      <c r="B362" s="38"/>
      <c r="C362" s="29"/>
      <c r="D362" s="29"/>
      <c r="E362" s="29"/>
      <c r="F362" s="29"/>
      <c r="G362" s="29"/>
      <c r="H362" s="29"/>
      <c r="I362" s="891"/>
      <c r="J362" s="30"/>
      <c r="K362" s="892"/>
      <c r="L362" s="53"/>
      <c r="M362" s="897"/>
      <c r="N362" s="53"/>
      <c r="O362" s="53"/>
      <c r="P362" s="53"/>
      <c r="Q362" s="54"/>
      <c r="R362" s="228"/>
    </row>
    <row r="363" spans="1:18" ht="22.8">
      <c r="A363" s="265" t="s">
        <v>170</v>
      </c>
      <c r="B363" s="38"/>
      <c r="C363" s="45" t="s">
        <v>130</v>
      </c>
      <c r="D363" s="29"/>
      <c r="E363" s="29"/>
      <c r="F363" s="29"/>
      <c r="G363" s="29"/>
      <c r="H363" s="29"/>
      <c r="I363" s="894">
        <f>SUM(I357:I361)</f>
        <v>3318916.2497196267</v>
      </c>
      <c r="J363" s="30"/>
      <c r="K363" s="894">
        <f>SUM(K357:K361)</f>
        <v>2023.7294205607482</v>
      </c>
      <c r="L363" s="53"/>
      <c r="M363" s="894">
        <f>SUM(M357:M361)</f>
        <v>67.457647352024935</v>
      </c>
      <c r="N363" s="53"/>
      <c r="O363" s="207">
        <f>SUM(O357:O361)</f>
        <v>4.3102808437917233</v>
      </c>
      <c r="P363" s="53"/>
      <c r="Q363" s="208">
        <f>SUM(Q357:Q361)</f>
        <v>9.1708103059398357E-3</v>
      </c>
      <c r="R363" s="230"/>
    </row>
    <row r="364" spans="1:18" ht="22.8">
      <c r="A364" s="266"/>
      <c r="B364" s="38"/>
      <c r="C364" s="29"/>
      <c r="D364" s="29"/>
      <c r="E364" s="29"/>
      <c r="F364" s="29"/>
      <c r="G364" s="29"/>
      <c r="H364" s="29"/>
      <c r="I364" s="199"/>
      <c r="J364" s="30"/>
      <c r="K364" s="892"/>
      <c r="L364" s="53"/>
      <c r="M364" s="897"/>
      <c r="N364" s="53"/>
      <c r="O364" s="53"/>
      <c r="P364" s="53"/>
      <c r="Q364" s="54"/>
      <c r="R364" s="228"/>
    </row>
    <row r="365" spans="1:18" ht="22.8">
      <c r="A365" s="273" t="s">
        <v>168</v>
      </c>
      <c r="B365" s="210" t="s">
        <v>531</v>
      </c>
      <c r="C365" s="29"/>
      <c r="D365" s="29"/>
      <c r="E365" s="29"/>
      <c r="F365" s="29"/>
      <c r="G365" s="29"/>
      <c r="H365" s="29"/>
      <c r="I365" s="199"/>
      <c r="J365" s="30"/>
      <c r="K365" s="892"/>
      <c r="L365" s="53"/>
      <c r="M365" s="897"/>
      <c r="N365" s="53"/>
      <c r="O365" s="53"/>
      <c r="P365" s="53"/>
      <c r="Q365" s="54"/>
      <c r="R365" s="228"/>
    </row>
    <row r="366" spans="1:18" ht="22.8">
      <c r="A366" s="266"/>
      <c r="B366" s="38"/>
      <c r="C366" s="29"/>
      <c r="D366" s="29"/>
      <c r="E366" s="29"/>
      <c r="F366" s="29"/>
      <c r="G366" s="29"/>
      <c r="H366" s="29"/>
      <c r="I366" s="199"/>
      <c r="J366" s="30"/>
      <c r="K366" s="892"/>
      <c r="L366" s="53"/>
      <c r="M366" s="897"/>
      <c r="N366" s="53"/>
      <c r="O366" s="53"/>
      <c r="P366" s="53"/>
      <c r="Q366" s="54"/>
      <c r="R366" s="228"/>
    </row>
    <row r="367" spans="1:18" ht="22.8">
      <c r="A367" s="265" t="s">
        <v>171</v>
      </c>
      <c r="B367" s="211" t="s">
        <v>508</v>
      </c>
      <c r="C367" s="30"/>
      <c r="D367" s="29"/>
      <c r="E367" s="29"/>
      <c r="F367" s="29"/>
      <c r="G367" s="29"/>
      <c r="H367" s="29"/>
      <c r="I367" s="199"/>
      <c r="J367" s="30"/>
      <c r="K367" s="892"/>
      <c r="L367" s="53"/>
      <c r="M367" s="897"/>
      <c r="N367" s="53"/>
      <c r="O367" s="53"/>
      <c r="P367" s="53"/>
      <c r="Q367" s="54"/>
      <c r="R367" s="228"/>
    </row>
    <row r="368" spans="1:18" ht="22.8">
      <c r="A368" s="265"/>
      <c r="B368" s="94"/>
      <c r="C368" s="30"/>
      <c r="D368" s="29"/>
      <c r="E368" s="29"/>
      <c r="F368" s="29"/>
      <c r="G368" s="29"/>
      <c r="H368" s="29"/>
      <c r="I368" s="199"/>
      <c r="J368" s="30"/>
      <c r="K368" s="892"/>
      <c r="L368" s="53"/>
      <c r="M368" s="897"/>
      <c r="N368" s="53"/>
      <c r="O368" s="53"/>
      <c r="P368" s="53"/>
      <c r="Q368" s="54"/>
      <c r="R368" s="228"/>
    </row>
    <row r="369" spans="1:18" ht="22.8">
      <c r="A369" s="265" t="s">
        <v>260</v>
      </c>
      <c r="B369" s="38" t="s">
        <v>89</v>
      </c>
      <c r="C369" s="38"/>
      <c r="D369" s="29"/>
      <c r="E369" s="29"/>
      <c r="F369" s="29"/>
      <c r="G369" s="29"/>
      <c r="H369" s="29"/>
      <c r="I369" s="890">
        <f>+((M217*(1-M221))/M219*(1+I223))</f>
        <v>6805035.0742186932</v>
      </c>
      <c r="J369" s="30"/>
      <c r="K369" s="892">
        <f>+I369/$K$100</f>
        <v>4149.4116306211545</v>
      </c>
      <c r="L369" s="53"/>
      <c r="M369" s="892">
        <f>+I369/($R$64*$K$100)</f>
        <v>138.31372102070515</v>
      </c>
      <c r="N369" s="53"/>
      <c r="O369" s="201">
        <f>+I369/$I$41</f>
        <v>8.8377078885957054</v>
      </c>
      <c r="P369" s="53"/>
      <c r="Q369" s="203">
        <f>+I369/($I$41*$I$28)</f>
        <v>1.8803633805522777E-2</v>
      </c>
      <c r="R369" s="227"/>
    </row>
    <row r="370" spans="1:18" ht="22.8">
      <c r="A370" s="265"/>
      <c r="B370" s="38"/>
      <c r="C370" s="38"/>
      <c r="D370" s="29"/>
      <c r="E370" s="29"/>
      <c r="F370" s="29"/>
      <c r="G370" s="29"/>
      <c r="H370" s="29"/>
      <c r="I370" s="198"/>
      <c r="J370" s="30"/>
      <c r="K370" s="892"/>
      <c r="L370" s="53"/>
      <c r="M370" s="892"/>
      <c r="N370" s="53"/>
      <c r="O370" s="36"/>
      <c r="P370" s="53"/>
      <c r="Q370" s="203"/>
      <c r="R370" s="227"/>
    </row>
    <row r="371" spans="1:18" ht="22.8">
      <c r="A371" s="265" t="s">
        <v>261</v>
      </c>
      <c r="B371" s="38" t="s">
        <v>131</v>
      </c>
      <c r="C371" s="38"/>
      <c r="D371" s="29"/>
      <c r="E371" s="29"/>
      <c r="F371" s="29"/>
      <c r="G371" s="29"/>
      <c r="H371" s="29"/>
      <c r="I371" s="890">
        <f>+((M229*(1-M233))/M231)*(1+I235)</f>
        <v>244230.33785336709</v>
      </c>
      <c r="J371" s="30"/>
      <c r="K371" s="892">
        <f>+I371/$K$100</f>
        <v>148.92093771546774</v>
      </c>
      <c r="L371" s="53"/>
      <c r="M371" s="892">
        <f>+I371/($R$64*$K$100)</f>
        <v>4.964031257182258</v>
      </c>
      <c r="N371" s="53"/>
      <c r="O371" s="201">
        <f>+I371/$I$41</f>
        <v>0.3171822569524248</v>
      </c>
      <c r="P371" s="53"/>
      <c r="Q371" s="203">
        <f>+I371/($I$41*$I$28)</f>
        <v>6.7485586585622301E-4</v>
      </c>
      <c r="R371" s="227"/>
    </row>
    <row r="372" spans="1:18" ht="22.8">
      <c r="A372" s="265"/>
      <c r="B372" s="38"/>
      <c r="C372" s="38"/>
      <c r="D372" s="29"/>
      <c r="E372" s="29"/>
      <c r="F372" s="29"/>
      <c r="G372" s="29"/>
      <c r="H372" s="29"/>
      <c r="I372" s="198"/>
      <c r="J372" s="30"/>
      <c r="K372" s="892"/>
      <c r="L372" s="53"/>
      <c r="M372" s="892"/>
      <c r="N372" s="53"/>
      <c r="O372" s="36"/>
      <c r="P372" s="53"/>
      <c r="Q372" s="96"/>
      <c r="R372" s="227"/>
    </row>
    <row r="373" spans="1:18" ht="22.8">
      <c r="A373" s="265" t="s">
        <v>262</v>
      </c>
      <c r="B373" s="209" t="s">
        <v>133</v>
      </c>
      <c r="C373" s="38"/>
      <c r="D373" s="29"/>
      <c r="E373" s="29"/>
      <c r="F373" s="29"/>
      <c r="G373" s="29"/>
      <c r="H373" s="29"/>
      <c r="I373" s="895">
        <f>SUM(I369:I371)</f>
        <v>7049265.4120720606</v>
      </c>
      <c r="J373" s="30"/>
      <c r="K373" s="895">
        <f>SUM(K369:K371)</f>
        <v>4298.332568336622</v>
      </c>
      <c r="L373" s="53"/>
      <c r="M373" s="892">
        <f>+I373/($R$64*$K$100)</f>
        <v>143.2777522778874</v>
      </c>
      <c r="N373" s="53"/>
      <c r="O373" s="201">
        <f>+I373/$I$41</f>
        <v>9.15489014554813</v>
      </c>
      <c r="P373" s="53"/>
      <c r="Q373" s="203">
        <f>+I373/($I$41*$I$28)</f>
        <v>1.9478489671379003E-2</v>
      </c>
      <c r="R373" s="231"/>
    </row>
    <row r="374" spans="1:18" ht="22.8">
      <c r="A374" s="266"/>
      <c r="B374" s="38"/>
      <c r="C374" s="29"/>
      <c r="D374" s="29"/>
      <c r="E374" s="29"/>
      <c r="F374" s="29"/>
      <c r="G374" s="29"/>
      <c r="H374" s="29"/>
      <c r="I374" s="199"/>
      <c r="J374" s="30"/>
      <c r="K374" s="892"/>
      <c r="L374" s="53"/>
      <c r="M374" s="897"/>
      <c r="N374" s="53"/>
      <c r="O374" s="53"/>
      <c r="P374" s="53"/>
      <c r="Q374" s="54"/>
      <c r="R374" s="232"/>
    </row>
    <row r="375" spans="1:18" ht="22.8">
      <c r="A375" s="265" t="s">
        <v>172</v>
      </c>
      <c r="B375" s="211" t="s">
        <v>189</v>
      </c>
      <c r="C375" s="29"/>
      <c r="D375" s="29"/>
      <c r="E375" s="29"/>
      <c r="F375" s="29"/>
      <c r="G375" s="29"/>
      <c r="H375" s="29"/>
      <c r="I375" s="895">
        <f>+((K128*(M239*(1-M243))/M241))*(1+I245)</f>
        <v>380385</v>
      </c>
      <c r="J375" s="196"/>
      <c r="K375" s="898">
        <f>+I375/$K$100</f>
        <v>231.9420731707317</v>
      </c>
      <c r="L375" s="216"/>
      <c r="M375" s="892">
        <f>+I375/($R$64*$K$100)</f>
        <v>7.7314024390243903</v>
      </c>
      <c r="N375" s="216"/>
      <c r="O375" s="201">
        <f>+I375/$I$41</f>
        <v>0.4940064935064935</v>
      </c>
      <c r="P375" s="216"/>
      <c r="Q375" s="203">
        <f>+I375/($I$41*$I$28)</f>
        <v>1.0510776457584969E-3</v>
      </c>
      <c r="R375" s="233"/>
    </row>
    <row r="376" spans="1:18" ht="22.8">
      <c r="A376" s="265"/>
      <c r="B376" s="211"/>
      <c r="C376" s="29"/>
      <c r="D376" s="29"/>
      <c r="E376" s="29"/>
      <c r="F376" s="29"/>
      <c r="G376" s="29"/>
      <c r="H376" s="29"/>
      <c r="I376" s="199"/>
      <c r="J376" s="30"/>
      <c r="K376" s="899"/>
      <c r="L376" s="53"/>
      <c r="M376" s="899"/>
      <c r="N376" s="53"/>
      <c r="O376" s="36"/>
      <c r="P376" s="53"/>
      <c r="Q376" s="36"/>
      <c r="R376" s="234"/>
    </row>
    <row r="377" spans="1:18" ht="22.8">
      <c r="A377" s="265" t="s">
        <v>193</v>
      </c>
      <c r="B377" s="211" t="s">
        <v>188</v>
      </c>
      <c r="C377" s="29"/>
      <c r="D377" s="29"/>
      <c r="E377" s="29"/>
      <c r="F377" s="29"/>
      <c r="G377" s="29"/>
      <c r="H377" s="29"/>
      <c r="I377" s="890">
        <f>+((I130*(M247*(1-M251))/M249))*(1+I253)</f>
        <v>91292.400000000009</v>
      </c>
      <c r="J377" s="30"/>
      <c r="K377" s="898">
        <f>+I377/$K$100</f>
        <v>55.666097560975615</v>
      </c>
      <c r="L377" s="216"/>
      <c r="M377" s="892">
        <f>+I377/($R$64*$K$100)</f>
        <v>1.8555365853658539</v>
      </c>
      <c r="N377" s="216"/>
      <c r="O377" s="201">
        <f>+I377/$I$41</f>
        <v>0.11856155844155845</v>
      </c>
      <c r="P377" s="216"/>
      <c r="Q377" s="203">
        <f>+I377/($I$41*$I$28)</f>
        <v>2.5225863498203928E-4</v>
      </c>
      <c r="R377" s="233"/>
    </row>
    <row r="378" spans="1:18" ht="22.8">
      <c r="A378" s="265"/>
      <c r="B378" s="211"/>
      <c r="C378" s="29"/>
      <c r="D378" s="29"/>
      <c r="E378" s="29"/>
      <c r="F378" s="29"/>
      <c r="G378" s="29"/>
      <c r="H378" s="29"/>
      <c r="I378" s="199"/>
      <c r="J378" s="30"/>
      <c r="K378" s="899"/>
      <c r="L378" s="53"/>
      <c r="M378" s="899"/>
      <c r="N378" s="53"/>
      <c r="O378" s="36"/>
      <c r="P378" s="53"/>
      <c r="Q378" s="36"/>
      <c r="R378" s="234"/>
    </row>
    <row r="379" spans="1:18" ht="22.8">
      <c r="A379" s="265" t="s">
        <v>194</v>
      </c>
      <c r="B379" s="211" t="s">
        <v>506</v>
      </c>
      <c r="C379" s="29"/>
      <c r="D379" s="29"/>
      <c r="E379" s="29"/>
      <c r="F379" s="29"/>
      <c r="G379" s="29"/>
      <c r="H379" s="29"/>
      <c r="I379" s="895">
        <f>+((K136*(M257*(1-M261))/M259))*(1+I263)</f>
        <v>638336.74800000002</v>
      </c>
      <c r="J379" s="30"/>
      <c r="K379" s="898">
        <f>+I379/$K$100</f>
        <v>389.22972439024392</v>
      </c>
      <c r="L379" s="53"/>
      <c r="M379" s="892">
        <f>+I379/($R$64*$K$100)</f>
        <v>12.974324146341464</v>
      </c>
      <c r="N379" s="53"/>
      <c r="O379" s="201">
        <f>+I379/$I$41</f>
        <v>0.82900876363636367</v>
      </c>
      <c r="P379" s="53"/>
      <c r="Q379" s="203">
        <f>+I379/($I$41*$I$28)</f>
        <v>1.7638484332688589E-3</v>
      </c>
      <c r="R379" s="233"/>
    </row>
    <row r="380" spans="1:18" ht="22.8">
      <c r="A380" s="46"/>
      <c r="B380" s="29"/>
      <c r="C380" s="29"/>
      <c r="D380" s="29"/>
      <c r="E380" s="29"/>
      <c r="F380" s="29"/>
      <c r="G380" s="29"/>
      <c r="H380" s="29"/>
      <c r="I380" s="199"/>
      <c r="J380" s="30"/>
      <c r="K380" s="897"/>
      <c r="L380" s="53"/>
      <c r="M380" s="897"/>
      <c r="N380" s="53"/>
      <c r="O380" s="53"/>
      <c r="P380" s="53"/>
      <c r="Q380" s="54"/>
      <c r="R380" s="232"/>
    </row>
    <row r="381" spans="1:18" ht="22.8">
      <c r="A381" s="265" t="s">
        <v>195</v>
      </c>
      <c r="B381" s="29"/>
      <c r="C381" s="45" t="s">
        <v>137</v>
      </c>
      <c r="D381" s="29"/>
      <c r="E381" s="29"/>
      <c r="F381" s="29"/>
      <c r="G381" s="29"/>
      <c r="H381" s="29"/>
      <c r="I381" s="894">
        <f>+I373+I375+I377+I379</f>
        <v>8159279.5600720607</v>
      </c>
      <c r="J381" s="30"/>
      <c r="K381" s="894">
        <f>+K373+K375+K377+K379</f>
        <v>4975.1704634585731</v>
      </c>
      <c r="L381" s="53"/>
      <c r="M381" s="894">
        <f>+M373+M375+M377+M379</f>
        <v>165.83901544861911</v>
      </c>
      <c r="N381" s="53"/>
      <c r="O381" s="207">
        <f>+O373+O375+O377+O379</f>
        <v>10.596466961132544</v>
      </c>
      <c r="P381" s="53"/>
      <c r="Q381" s="208">
        <f>+Q373+Q375+Q377+Q379</f>
        <v>2.25456743853884E-2</v>
      </c>
      <c r="R381" s="230"/>
    </row>
    <row r="382" spans="1:18" ht="17.399999999999999">
      <c r="A382" s="274"/>
      <c r="B382" s="55"/>
      <c r="C382" s="56"/>
      <c r="D382" s="56"/>
      <c r="E382" s="56"/>
      <c r="F382" s="56"/>
      <c r="G382" s="56"/>
      <c r="H382" s="56"/>
      <c r="I382" s="891"/>
      <c r="J382" s="30"/>
      <c r="K382" s="900"/>
      <c r="L382" s="56"/>
      <c r="M382" s="900"/>
      <c r="N382" s="56"/>
      <c r="O382" s="57"/>
      <c r="P382" s="57"/>
      <c r="Q382" s="56"/>
      <c r="R382" s="235"/>
    </row>
    <row r="383" spans="1:18" ht="24.6">
      <c r="A383" s="275" t="s">
        <v>263</v>
      </c>
      <c r="B383" s="55"/>
      <c r="C383" s="56"/>
      <c r="D383" s="56"/>
      <c r="E383" s="56"/>
      <c r="F383" s="56"/>
      <c r="G383" s="56"/>
      <c r="H383" s="56"/>
      <c r="I383" s="896">
        <f>+I381+I363+I353</f>
        <v>19985509.020576961</v>
      </c>
      <c r="J383" s="30"/>
      <c r="K383" s="896">
        <f>+K381+K363+K353</f>
        <v>12186.285988156684</v>
      </c>
      <c r="L383" s="56"/>
      <c r="M383" s="896">
        <f>+M381+M363+M353</f>
        <v>406.20953293855609</v>
      </c>
      <c r="N383" s="56"/>
      <c r="O383" s="222">
        <f>+O381+O363+O353</f>
        <v>25.955206520229815</v>
      </c>
      <c r="P383" s="57"/>
      <c r="Q383" s="223">
        <f>+Q381+Q363+Q353</f>
        <v>5.5223843660063443E-2</v>
      </c>
      <c r="R383" s="236"/>
    </row>
    <row r="384" spans="1:18" ht="18" thickBot="1">
      <c r="A384" s="277"/>
      <c r="B384" s="250"/>
      <c r="C384" s="251"/>
      <c r="D384" s="251"/>
      <c r="E384" s="251"/>
      <c r="F384" s="251"/>
      <c r="G384" s="251"/>
      <c r="H384" s="251"/>
      <c r="I384" s="252"/>
      <c r="J384" s="253"/>
      <c r="K384" s="251"/>
      <c r="L384" s="251"/>
      <c r="M384" s="251"/>
      <c r="N384" s="251"/>
      <c r="O384" s="254"/>
      <c r="P384" s="254"/>
      <c r="Q384" s="251"/>
      <c r="R384" s="288"/>
    </row>
    <row r="385" ht="15.6" thickTop="1"/>
  </sheetData>
  <mergeCells count="19">
    <mergeCell ref="K68:M68"/>
    <mergeCell ref="O68:Q68"/>
    <mergeCell ref="O48:Q48"/>
    <mergeCell ref="K52:M52"/>
    <mergeCell ref="O52:Q52"/>
    <mergeCell ref="K54:M54"/>
    <mergeCell ref="O54:Q54"/>
    <mergeCell ref="K66:M66"/>
    <mergeCell ref="O66:Q66"/>
    <mergeCell ref="K64:M64"/>
    <mergeCell ref="O64:Q64"/>
    <mergeCell ref="K46:M46"/>
    <mergeCell ref="O46:Q46"/>
    <mergeCell ref="A1:H1"/>
    <mergeCell ref="K44:M44"/>
    <mergeCell ref="O44:Q44"/>
    <mergeCell ref="K62:M62"/>
    <mergeCell ref="O62:Q62"/>
    <mergeCell ref="K48:M48"/>
  </mergeCells>
  <phoneticPr fontId="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tabColor rgb="FF008000"/>
  </sheetPr>
  <dimension ref="A1:U383"/>
  <sheetViews>
    <sheetView topLeftCell="A305" zoomScale="50" zoomScaleNormal="50" workbookViewId="0">
      <selection activeCell="R290" sqref="R290"/>
    </sheetView>
  </sheetViews>
  <sheetFormatPr defaultRowHeight="15"/>
  <cols>
    <col min="1" max="1" width="12.90625" bestFit="1" customWidth="1"/>
    <col min="7" max="7" width="13.36328125" customWidth="1"/>
    <col min="8" max="8" width="35.90625" customWidth="1"/>
    <col min="9" max="9" width="28" customWidth="1"/>
    <col min="10" max="10" width="10.54296875" customWidth="1"/>
    <col min="11" max="11" width="20" customWidth="1"/>
    <col min="13" max="13" width="20.90625" customWidth="1"/>
    <col min="15" max="15" width="12.6328125" customWidth="1"/>
    <col min="17" max="17" width="16.08984375" customWidth="1"/>
    <col min="18" max="18" width="31.54296875" customWidth="1"/>
  </cols>
  <sheetData>
    <row r="1" spans="1:18" ht="45" thickTop="1">
      <c r="A1" s="1551" t="s">
        <v>684</v>
      </c>
      <c r="B1" s="1552"/>
      <c r="C1" s="1552"/>
      <c r="D1" s="1552"/>
      <c r="E1" s="1552"/>
      <c r="F1" s="1552"/>
      <c r="G1" s="1552"/>
      <c r="H1" s="1552"/>
      <c r="I1" s="289"/>
      <c r="J1" s="289"/>
      <c r="K1" s="289"/>
      <c r="L1" s="289"/>
      <c r="M1" s="289"/>
      <c r="N1" s="289"/>
      <c r="O1" s="348"/>
      <c r="P1" s="349"/>
      <c r="Q1" s="347"/>
      <c r="R1" s="290"/>
    </row>
    <row r="2" spans="1:18" ht="15.6" thickBot="1">
      <c r="A2" s="291"/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92"/>
    </row>
    <row r="3" spans="1:18" ht="24" thickTop="1" thickBot="1">
      <c r="A3" s="1153" t="s">
        <v>827</v>
      </c>
      <c r="B3" s="1154"/>
      <c r="C3" s="1154"/>
      <c r="D3" s="1154"/>
      <c r="E3" s="1154"/>
      <c r="F3" s="1154"/>
      <c r="G3" s="1154"/>
      <c r="H3" s="1154"/>
      <c r="I3" s="1155"/>
      <c r="J3" s="1156"/>
      <c r="K3" s="1157"/>
      <c r="L3" s="1157"/>
      <c r="M3" s="1157"/>
      <c r="N3" s="1157"/>
      <c r="O3" s="1157"/>
      <c r="P3" s="1157"/>
      <c r="Q3" s="1157"/>
      <c r="R3" s="1158"/>
    </row>
    <row r="4" spans="1:18" ht="15.6" thickTop="1">
      <c r="A4" s="1129"/>
      <c r="B4" s="1130"/>
      <c r="C4" s="1130"/>
      <c r="D4" s="1130"/>
      <c r="E4" s="1130"/>
      <c r="F4" s="1130"/>
      <c r="G4" s="1130"/>
      <c r="H4" s="1130"/>
      <c r="I4" s="1130"/>
      <c r="J4" s="1130"/>
      <c r="K4" s="1130"/>
      <c r="L4" s="1130"/>
      <c r="M4" s="1130"/>
      <c r="N4" s="1130"/>
      <c r="O4" s="1130"/>
      <c r="P4" s="1130"/>
      <c r="Q4" s="1130"/>
      <c r="R4" s="1131"/>
    </row>
    <row r="5" spans="1:18" ht="18.600000000000001">
      <c r="A5" s="1132"/>
      <c r="B5" s="1133"/>
      <c r="C5" s="1133"/>
      <c r="D5" s="1133"/>
      <c r="E5" s="1134"/>
      <c r="F5" s="1135"/>
      <c r="G5" s="1135"/>
      <c r="H5" s="1135"/>
      <c r="I5" s="1135"/>
      <c r="J5" s="1135"/>
      <c r="K5" s="1135"/>
      <c r="L5" s="1135"/>
      <c r="M5" s="1135"/>
      <c r="N5" s="1135"/>
      <c r="O5" s="1135"/>
      <c r="P5" s="1135"/>
      <c r="Q5" s="1135"/>
      <c r="R5" s="1131"/>
    </row>
    <row r="6" spans="1:18" ht="24.6">
      <c r="A6" s="1132"/>
      <c r="B6" s="1133"/>
      <c r="C6" s="1133"/>
      <c r="D6" s="1133"/>
      <c r="E6" s="1134"/>
      <c r="F6" s="1136" t="s">
        <v>392</v>
      </c>
      <c r="G6" s="1130"/>
      <c r="H6" s="1130"/>
      <c r="I6" s="1137" t="s">
        <v>782</v>
      </c>
      <c r="J6" s="1138"/>
      <c r="K6" s="1138"/>
      <c r="L6" s="1138"/>
      <c r="M6" s="1139"/>
      <c r="N6" s="1135"/>
      <c r="O6" s="1135"/>
      <c r="P6" s="1135"/>
      <c r="Q6" s="1135"/>
      <c r="R6" s="1131"/>
    </row>
    <row r="7" spans="1:18" ht="32.4">
      <c r="A7" s="1132"/>
      <c r="B7" s="1133"/>
      <c r="C7" s="1133"/>
      <c r="D7" s="1133"/>
      <c r="E7" s="1134"/>
      <c r="F7" s="1130"/>
      <c r="G7" s="1130"/>
      <c r="H7" s="1130"/>
      <c r="I7" s="1140"/>
      <c r="J7" s="1141"/>
      <c r="K7" s="1141"/>
      <c r="L7" s="1141"/>
      <c r="M7" s="1142"/>
      <c r="N7" s="1130"/>
      <c r="O7" s="1130"/>
      <c r="P7" s="1130"/>
      <c r="Q7" s="1135"/>
      <c r="R7" s="1131"/>
    </row>
    <row r="8" spans="1:18" ht="24.6">
      <c r="A8" s="1143"/>
      <c r="B8" s="1135"/>
      <c r="C8" s="1135"/>
      <c r="D8" s="1135"/>
      <c r="E8" s="1135"/>
      <c r="F8" s="1136" t="s">
        <v>354</v>
      </c>
      <c r="G8" s="1130"/>
      <c r="H8" s="1130"/>
      <c r="I8" s="1144" t="s">
        <v>772</v>
      </c>
      <c r="J8" s="1138"/>
      <c r="K8" s="1138"/>
      <c r="L8" s="1138"/>
      <c r="M8" s="1139"/>
      <c r="N8" s="1130"/>
      <c r="O8" s="1130"/>
      <c r="P8" s="1130"/>
      <c r="Q8" s="1135"/>
      <c r="R8" s="1131"/>
    </row>
    <row r="9" spans="1:18" ht="19.2">
      <c r="A9" s="1143"/>
      <c r="B9" s="1135"/>
      <c r="C9" s="1135"/>
      <c r="D9" s="1135"/>
      <c r="E9" s="1135"/>
      <c r="F9" s="1136"/>
      <c r="G9" s="1130"/>
      <c r="H9" s="1130"/>
      <c r="I9" s="1145"/>
      <c r="J9" s="1146"/>
      <c r="K9" s="1146"/>
      <c r="L9" s="1146"/>
      <c r="M9" s="1147"/>
      <c r="N9" s="1130"/>
      <c r="O9" s="1130"/>
      <c r="P9" s="1130"/>
      <c r="Q9" s="1135"/>
      <c r="R9" s="1131"/>
    </row>
    <row r="10" spans="1:18" ht="24.6">
      <c r="A10" s="1143"/>
      <c r="B10" s="1135"/>
      <c r="C10" s="1135"/>
      <c r="D10" s="1135"/>
      <c r="E10" s="1135"/>
      <c r="F10" s="1136" t="s">
        <v>355</v>
      </c>
      <c r="G10" s="1130"/>
      <c r="H10" s="1130"/>
      <c r="I10" s="1148">
        <f ca="1">TODAY()</f>
        <v>42149</v>
      </c>
      <c r="J10" s="1146"/>
      <c r="K10" s="1146"/>
      <c r="L10" s="1146"/>
      <c r="M10" s="1147"/>
      <c r="N10" s="1130"/>
      <c r="O10" s="1130"/>
      <c r="P10" s="1130"/>
      <c r="Q10" s="1130"/>
      <c r="R10" s="1131"/>
    </row>
    <row r="11" spans="1:18">
      <c r="A11" s="1143"/>
      <c r="B11" s="1135"/>
      <c r="C11" s="1135"/>
      <c r="D11" s="1135"/>
      <c r="E11" s="1135"/>
      <c r="F11" s="1135"/>
      <c r="G11" s="1135"/>
      <c r="H11" s="1135"/>
      <c r="I11" s="1135"/>
      <c r="J11" s="1135"/>
      <c r="K11" s="1135"/>
      <c r="L11" s="1135"/>
      <c r="M11" s="1135"/>
      <c r="N11" s="1130"/>
      <c r="O11" s="1130"/>
      <c r="P11" s="1130"/>
      <c r="Q11" s="1130"/>
      <c r="R11" s="1131"/>
    </row>
    <row r="12" spans="1:18" ht="19.2" thickBot="1">
      <c r="A12" s="1143"/>
      <c r="B12" s="1135"/>
      <c r="C12" s="1135"/>
      <c r="D12" s="1135"/>
      <c r="E12" s="1135"/>
      <c r="F12" s="1135"/>
      <c r="G12" s="1135"/>
      <c r="H12" s="1135"/>
      <c r="I12" s="1130"/>
      <c r="J12" s="1149"/>
      <c r="K12" s="1130"/>
      <c r="L12" s="1130"/>
      <c r="M12" s="1135"/>
      <c r="N12" s="1130"/>
      <c r="O12" s="1130"/>
      <c r="P12" s="1130"/>
      <c r="Q12" s="1130"/>
      <c r="R12" s="1131"/>
    </row>
    <row r="13" spans="1:18" ht="19.8" thickTop="1" thickBot="1">
      <c r="A13" s="1143"/>
      <c r="B13" s="1135"/>
      <c r="C13" s="1135"/>
      <c r="D13" s="1135"/>
      <c r="E13" s="1135"/>
      <c r="F13" s="1135"/>
      <c r="G13" s="1135"/>
      <c r="H13" s="1135"/>
      <c r="I13" s="1505"/>
      <c r="J13" s="1150" t="s">
        <v>783</v>
      </c>
      <c r="K13" s="1130"/>
      <c r="L13" s="1130"/>
      <c r="M13" s="1135"/>
      <c r="N13" s="1130"/>
      <c r="O13" s="1130"/>
      <c r="P13" s="1130"/>
      <c r="Q13" s="1130"/>
      <c r="R13" s="1131"/>
    </row>
    <row r="14" spans="1:18" ht="15.6" thickTop="1">
      <c r="A14" s="1143"/>
      <c r="B14" s="1135"/>
      <c r="C14" s="1135"/>
      <c r="D14" s="1135"/>
      <c r="E14" s="1135"/>
      <c r="F14" s="1135"/>
      <c r="G14" s="1135"/>
      <c r="H14" s="1135"/>
      <c r="I14" s="1151"/>
      <c r="J14" s="1130"/>
      <c r="K14" s="1130"/>
      <c r="L14" s="1130"/>
      <c r="M14" s="1135"/>
      <c r="N14" s="1130"/>
      <c r="O14" s="1130"/>
      <c r="P14" s="1130"/>
      <c r="Q14" s="1130"/>
      <c r="R14" s="1131"/>
    </row>
    <row r="15" spans="1:18" ht="15.6" thickBot="1">
      <c r="A15" s="1129"/>
      <c r="B15" s="1130"/>
      <c r="C15" s="1130"/>
      <c r="D15" s="1130"/>
      <c r="E15" s="1130"/>
      <c r="F15" s="1130"/>
      <c r="G15" s="1130"/>
      <c r="H15" s="1130"/>
      <c r="I15" s="1130"/>
      <c r="J15" s="1130"/>
      <c r="K15" s="1130"/>
      <c r="L15" s="1130"/>
      <c r="M15" s="1130"/>
      <c r="N15" s="1130"/>
      <c r="O15" s="1130"/>
      <c r="P15" s="1130"/>
      <c r="Q15" s="1130"/>
      <c r="R15" s="1152"/>
    </row>
    <row r="16" spans="1:18" ht="23.4" thickTop="1">
      <c r="A16" s="258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247"/>
    </row>
    <row r="17" spans="1:18" ht="22.8">
      <c r="A17" s="259" t="s">
        <v>394</v>
      </c>
      <c r="B17" s="77" t="s">
        <v>395</v>
      </c>
      <c r="C17" s="78"/>
      <c r="D17" s="78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245"/>
    </row>
    <row r="18" spans="1:18" ht="22.8">
      <c r="A18" s="82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245"/>
    </row>
    <row r="19" spans="1:18" ht="23.4" thickBot="1">
      <c r="A19" s="82"/>
      <c r="B19" s="79"/>
      <c r="C19" s="79"/>
      <c r="D19" s="79"/>
      <c r="E19" s="79"/>
      <c r="F19" s="79"/>
      <c r="G19" s="79"/>
      <c r="H19" s="80"/>
      <c r="I19" s="79"/>
      <c r="J19" s="79"/>
      <c r="K19" s="79"/>
      <c r="L19" s="79"/>
      <c r="M19" s="79"/>
      <c r="N19" s="79"/>
      <c r="O19" s="79"/>
      <c r="P19" s="79"/>
      <c r="Q19" s="79"/>
      <c r="R19" s="245"/>
    </row>
    <row r="20" spans="1:18" ht="24" thickTop="1" thickBot="1">
      <c r="A20" s="260" t="s">
        <v>396</v>
      </c>
      <c r="B20" s="81" t="s">
        <v>397</v>
      </c>
      <c r="C20" s="81"/>
      <c r="D20" s="81"/>
      <c r="E20" s="81"/>
      <c r="F20" s="79"/>
      <c r="G20" s="79"/>
      <c r="H20" s="80"/>
      <c r="I20" s="1159" t="s">
        <v>100</v>
      </c>
      <c r="J20" s="82"/>
      <c r="K20" s="79"/>
      <c r="L20" s="79"/>
      <c r="M20" s="79"/>
      <c r="N20" s="79"/>
      <c r="O20" s="79"/>
      <c r="P20" s="79"/>
      <c r="Q20" s="79"/>
      <c r="R20" s="245"/>
    </row>
    <row r="21" spans="1:18" ht="24" thickTop="1" thickBot="1">
      <c r="A21" s="82"/>
      <c r="B21" s="79"/>
      <c r="C21" s="79"/>
      <c r="D21" s="79"/>
      <c r="E21" s="79"/>
      <c r="F21" s="79"/>
      <c r="G21" s="79"/>
      <c r="H21" s="80"/>
      <c r="I21" s="76"/>
      <c r="J21" s="79"/>
      <c r="K21" s="79"/>
      <c r="L21" s="79"/>
      <c r="M21" s="79"/>
      <c r="N21" s="79"/>
      <c r="O21" s="79"/>
      <c r="P21" s="79"/>
      <c r="Q21" s="79"/>
      <c r="R21" s="245"/>
    </row>
    <row r="22" spans="1:18" ht="24" thickTop="1" thickBot="1">
      <c r="A22" s="261" t="s">
        <v>398</v>
      </c>
      <c r="B22" s="83" t="s">
        <v>399</v>
      </c>
      <c r="C22" s="79"/>
      <c r="D22" s="79"/>
      <c r="E22" s="79"/>
      <c r="F22" s="79"/>
      <c r="G22" s="79"/>
      <c r="H22" s="80"/>
      <c r="I22" s="1159">
        <v>360</v>
      </c>
      <c r="J22" s="82"/>
      <c r="K22" s="79"/>
      <c r="L22" s="79"/>
      <c r="M22" s="79"/>
      <c r="N22" s="79"/>
      <c r="O22" s="79"/>
      <c r="P22" s="79"/>
      <c r="Q22" s="79"/>
      <c r="R22" s="245"/>
    </row>
    <row r="23" spans="1:18" ht="24" thickTop="1" thickBot="1">
      <c r="A23" s="82"/>
      <c r="B23" s="79"/>
      <c r="C23" s="79"/>
      <c r="D23" s="79"/>
      <c r="E23" s="79"/>
      <c r="F23" s="79"/>
      <c r="G23" s="79"/>
      <c r="H23" s="80"/>
      <c r="I23" s="76"/>
      <c r="J23" s="79"/>
      <c r="K23" s="79"/>
      <c r="L23" s="79"/>
      <c r="M23" s="79"/>
      <c r="N23" s="79"/>
      <c r="O23" s="79"/>
      <c r="P23" s="79"/>
      <c r="Q23" s="79"/>
      <c r="R23" s="245"/>
    </row>
    <row r="24" spans="1:18" ht="24" thickTop="1" thickBot="1">
      <c r="A24" s="261" t="s">
        <v>400</v>
      </c>
      <c r="B24" s="83" t="s">
        <v>401</v>
      </c>
      <c r="C24" s="79"/>
      <c r="D24" s="79"/>
      <c r="E24" s="79"/>
      <c r="F24" s="79"/>
      <c r="G24" s="79"/>
      <c r="H24" s="80"/>
      <c r="I24" s="1160" t="s">
        <v>583</v>
      </c>
      <c r="J24" s="82"/>
      <c r="K24" s="79"/>
      <c r="L24" s="79"/>
      <c r="M24" s="79"/>
      <c r="N24" s="79"/>
      <c r="O24" s="79"/>
      <c r="P24" s="79"/>
      <c r="Q24" s="79"/>
      <c r="R24" s="245"/>
    </row>
    <row r="25" spans="1:18" ht="24" thickTop="1" thickBot="1">
      <c r="A25" s="82"/>
      <c r="B25" s="79"/>
      <c r="C25" s="79"/>
      <c r="D25" s="79"/>
      <c r="E25" s="79"/>
      <c r="F25" s="79"/>
      <c r="G25" s="79"/>
      <c r="H25" s="80"/>
      <c r="I25" s="84"/>
      <c r="J25" s="79"/>
      <c r="K25" s="79"/>
      <c r="L25" s="79"/>
      <c r="M25" s="79"/>
      <c r="N25" s="79"/>
      <c r="O25" s="79"/>
      <c r="P25" s="79"/>
      <c r="Q25" s="79"/>
      <c r="R25" s="245"/>
    </row>
    <row r="26" spans="1:18" ht="24" thickTop="1" thickBot="1">
      <c r="A26" s="261" t="s">
        <v>402</v>
      </c>
      <c r="B26" s="83" t="s">
        <v>403</v>
      </c>
      <c r="C26" s="79"/>
      <c r="D26" s="79"/>
      <c r="E26" s="79"/>
      <c r="F26" s="79"/>
      <c r="G26" s="79"/>
      <c r="H26" s="80"/>
      <c r="I26" s="1160" t="s">
        <v>591</v>
      </c>
      <c r="J26" s="82"/>
      <c r="K26" s="79"/>
      <c r="L26" s="79"/>
      <c r="M26" s="79"/>
      <c r="N26" s="79"/>
      <c r="O26" s="79"/>
      <c r="P26" s="79"/>
      <c r="Q26" s="79"/>
      <c r="R26" s="245"/>
    </row>
    <row r="27" spans="1:18" ht="24" thickTop="1" thickBot="1">
      <c r="A27" s="261"/>
      <c r="B27" s="83"/>
      <c r="C27" s="79"/>
      <c r="D27" s="79"/>
      <c r="E27" s="79"/>
      <c r="F27" s="79"/>
      <c r="G27" s="79"/>
      <c r="H27" s="80"/>
      <c r="I27" s="85"/>
      <c r="J27" s="79"/>
      <c r="K27" s="79"/>
      <c r="L27" s="79"/>
      <c r="M27" s="79"/>
      <c r="N27" s="79"/>
      <c r="O27" s="79"/>
      <c r="P27" s="79"/>
      <c r="Q27" s="79"/>
      <c r="R27" s="245"/>
    </row>
    <row r="28" spans="1:18" ht="24" thickTop="1" thickBot="1">
      <c r="A28" s="261" t="s">
        <v>404</v>
      </c>
      <c r="B28" s="83" t="s">
        <v>405</v>
      </c>
      <c r="C28" s="79"/>
      <c r="D28" s="79"/>
      <c r="E28" s="79"/>
      <c r="F28" s="79"/>
      <c r="G28" s="79"/>
      <c r="H28" s="80"/>
      <c r="I28" s="1161">
        <f>sysdata!E21+sysdata!E22+sysdata!E23</f>
        <v>293</v>
      </c>
      <c r="J28" s="82"/>
      <c r="K28" s="79"/>
      <c r="L28" s="79"/>
      <c r="M28" s="79"/>
      <c r="N28" s="79"/>
      <c r="O28" s="79"/>
      <c r="P28" s="79"/>
      <c r="Q28" s="79"/>
      <c r="R28" s="245"/>
    </row>
    <row r="29" spans="1:18" ht="24" thickTop="1" thickBot="1">
      <c r="A29" s="261"/>
      <c r="B29" s="83"/>
      <c r="C29" s="79"/>
      <c r="D29" s="79"/>
      <c r="E29" s="79"/>
      <c r="F29" s="79"/>
      <c r="G29" s="79"/>
      <c r="H29" s="80"/>
      <c r="I29" s="224"/>
      <c r="J29" s="183"/>
      <c r="K29" s="79"/>
      <c r="L29" s="79"/>
      <c r="M29" s="79"/>
      <c r="N29" s="79"/>
      <c r="O29" s="79"/>
      <c r="P29" s="79"/>
      <c r="Q29" s="79"/>
      <c r="R29" s="249"/>
    </row>
    <row r="30" spans="1:18" ht="23.4" thickTop="1">
      <c r="A30" s="262"/>
      <c r="B30" s="31"/>
      <c r="C30" s="31"/>
      <c r="D30" s="31"/>
      <c r="E30" s="31"/>
      <c r="F30" s="31"/>
      <c r="G30" s="31"/>
      <c r="H30" s="32"/>
      <c r="I30" s="89"/>
      <c r="J30" s="31"/>
      <c r="K30" s="31"/>
      <c r="L30" s="31"/>
      <c r="M30" s="31"/>
      <c r="N30" s="31"/>
      <c r="O30" s="31"/>
      <c r="P30" s="31"/>
      <c r="Q30" s="31"/>
      <c r="R30" s="225"/>
    </row>
    <row r="31" spans="1:18" ht="22.8">
      <c r="A31" s="263" t="s">
        <v>406</v>
      </c>
      <c r="B31" s="34" t="s">
        <v>407</v>
      </c>
      <c r="C31" s="29"/>
      <c r="D31" s="29"/>
      <c r="E31" s="29"/>
      <c r="F31" s="29"/>
      <c r="G31" s="29"/>
      <c r="H31" s="35"/>
      <c r="I31" s="36"/>
      <c r="J31" s="29"/>
      <c r="K31" s="29"/>
      <c r="L31" s="29"/>
      <c r="M31" s="29"/>
      <c r="N31" s="29"/>
      <c r="O31" s="29"/>
      <c r="P31" s="29"/>
      <c r="Q31" s="29"/>
      <c r="R31" s="225"/>
    </row>
    <row r="32" spans="1:18" ht="23.4" thickBot="1">
      <c r="A32" s="46"/>
      <c r="B32" s="29"/>
      <c r="C32" s="29"/>
      <c r="D32" s="29"/>
      <c r="E32" s="29"/>
      <c r="F32" s="29"/>
      <c r="G32" s="29"/>
      <c r="H32" s="35"/>
      <c r="I32" s="36"/>
      <c r="J32" s="29"/>
      <c r="K32" s="29"/>
      <c r="L32" s="29"/>
      <c r="M32" s="29"/>
      <c r="N32" s="29"/>
      <c r="O32" s="29"/>
      <c r="P32" s="29"/>
      <c r="Q32" s="29"/>
      <c r="R32" s="225"/>
    </row>
    <row r="33" spans="1:18" ht="24" thickTop="1" thickBot="1">
      <c r="A33" s="264" t="s">
        <v>351</v>
      </c>
      <c r="B33" s="87" t="s">
        <v>39</v>
      </c>
      <c r="C33" s="29"/>
      <c r="D33" s="29"/>
      <c r="E33" s="29"/>
      <c r="F33" s="29"/>
      <c r="G33" s="29"/>
      <c r="H33" s="35"/>
      <c r="I33" s="1162">
        <v>1</v>
      </c>
      <c r="J33" s="29"/>
      <c r="K33" s="29"/>
      <c r="L33" s="29"/>
      <c r="M33" s="29"/>
      <c r="N33" s="29"/>
      <c r="O33" s="29"/>
      <c r="P33" s="29"/>
      <c r="Q33" s="29"/>
      <c r="R33" s="225"/>
    </row>
    <row r="34" spans="1:18" ht="24" thickTop="1" thickBot="1">
      <c r="A34" s="46"/>
      <c r="B34" s="29"/>
      <c r="C34" s="29"/>
      <c r="D34" s="29"/>
      <c r="E34" s="29"/>
      <c r="F34" s="29"/>
      <c r="G34" s="29"/>
      <c r="H34" s="35"/>
      <c r="I34" s="36"/>
      <c r="J34" s="29"/>
      <c r="K34" s="29"/>
      <c r="L34" s="29"/>
      <c r="M34" s="29"/>
      <c r="N34" s="29"/>
      <c r="O34" s="29"/>
      <c r="P34" s="29"/>
      <c r="Q34" s="29"/>
      <c r="R34" s="225"/>
    </row>
    <row r="35" spans="1:18" ht="24" thickTop="1" thickBot="1">
      <c r="A35" s="264" t="s">
        <v>409</v>
      </c>
      <c r="B35" s="87" t="s">
        <v>40</v>
      </c>
      <c r="C35" s="29"/>
      <c r="D35" s="29"/>
      <c r="E35" s="29"/>
      <c r="F35" s="29"/>
      <c r="G35" s="29"/>
      <c r="H35" s="35"/>
      <c r="I35" s="1163"/>
      <c r="J35" s="29"/>
      <c r="K35" s="29"/>
      <c r="L35" s="29"/>
      <c r="M35" s="29"/>
      <c r="N35" s="29"/>
      <c r="O35" s="29"/>
      <c r="P35" s="29"/>
      <c r="Q35" s="29"/>
      <c r="R35" s="225"/>
    </row>
    <row r="36" spans="1:18" ht="24" thickTop="1" thickBot="1">
      <c r="A36" s="46"/>
      <c r="B36" s="29"/>
      <c r="C36" s="29"/>
      <c r="D36" s="29"/>
      <c r="E36" s="29"/>
      <c r="F36" s="29"/>
      <c r="G36" s="29"/>
      <c r="H36" s="35"/>
      <c r="I36" s="36"/>
      <c r="J36" s="29"/>
      <c r="K36" s="29"/>
      <c r="L36" s="29"/>
      <c r="M36" s="29"/>
      <c r="N36" s="29"/>
      <c r="O36" s="29"/>
      <c r="P36" s="29"/>
      <c r="Q36" s="29"/>
      <c r="R36" s="225"/>
    </row>
    <row r="37" spans="1:18" ht="24" thickTop="1" thickBot="1">
      <c r="A37" s="265" t="s">
        <v>412</v>
      </c>
      <c r="B37" s="38" t="s">
        <v>31</v>
      </c>
      <c r="C37" s="29"/>
      <c r="D37" s="29"/>
      <c r="E37" s="29"/>
      <c r="F37" s="29"/>
      <c r="G37" s="29"/>
      <c r="H37" s="35"/>
      <c r="I37" s="1164">
        <v>700000</v>
      </c>
      <c r="J37" s="1166" t="s">
        <v>32</v>
      </c>
      <c r="K37" s="39"/>
      <c r="L37" s="29"/>
      <c r="M37" s="29"/>
      <c r="N37" s="29"/>
      <c r="O37" s="29"/>
      <c r="P37" s="29"/>
      <c r="Q37" s="29"/>
      <c r="R37" s="225"/>
    </row>
    <row r="38" spans="1:18" ht="24" thickTop="1" thickBot="1">
      <c r="A38" s="266"/>
      <c r="B38" s="38"/>
      <c r="C38" s="29"/>
      <c r="D38" s="29"/>
      <c r="E38" s="29"/>
      <c r="F38" s="29"/>
      <c r="G38" s="29"/>
      <c r="H38" s="35"/>
      <c r="I38" s="151">
        <v>8</v>
      </c>
      <c r="J38" s="151"/>
      <c r="K38" s="152"/>
      <c r="L38" s="29"/>
      <c r="M38" s="29"/>
      <c r="N38" s="29"/>
      <c r="O38" s="29"/>
      <c r="P38" s="29"/>
      <c r="Q38" s="29"/>
      <c r="R38" s="225"/>
    </row>
    <row r="39" spans="1:18" ht="24" thickTop="1" thickBot="1">
      <c r="A39" s="265" t="s">
        <v>415</v>
      </c>
      <c r="B39" s="38" t="s">
        <v>36</v>
      </c>
      <c r="C39" s="29"/>
      <c r="D39" s="29"/>
      <c r="E39" s="29"/>
      <c r="F39" s="29"/>
      <c r="G39" s="29"/>
      <c r="H39" s="35"/>
      <c r="I39" s="1165">
        <f>IF(I33=1,0,I37*I35)</f>
        <v>0</v>
      </c>
      <c r="J39" s="1166" t="s">
        <v>32</v>
      </c>
      <c r="K39" s="39"/>
      <c r="L39" s="29"/>
      <c r="M39" s="29"/>
      <c r="N39" s="29"/>
      <c r="O39" s="29"/>
      <c r="P39" s="29"/>
      <c r="Q39" s="29"/>
      <c r="R39" s="225"/>
    </row>
    <row r="40" spans="1:18" ht="23.4" thickTop="1">
      <c r="A40" s="266"/>
      <c r="B40" s="38"/>
      <c r="C40" s="29"/>
      <c r="D40" s="29"/>
      <c r="E40" s="29"/>
      <c r="F40" s="29"/>
      <c r="G40" s="29"/>
      <c r="H40" s="35"/>
      <c r="I40" s="151"/>
      <c r="J40" s="151"/>
      <c r="K40" s="152"/>
      <c r="L40" s="29"/>
      <c r="M40" s="29"/>
      <c r="N40" s="29"/>
      <c r="O40" s="29"/>
      <c r="P40" s="29"/>
      <c r="Q40" s="29"/>
      <c r="R40" s="225"/>
    </row>
    <row r="41" spans="1:18" ht="22.8">
      <c r="A41" s="265" t="s">
        <v>417</v>
      </c>
      <c r="B41" s="38" t="s">
        <v>201</v>
      </c>
      <c r="C41" s="29"/>
      <c r="D41" s="29"/>
      <c r="E41" s="29"/>
      <c r="F41" s="29"/>
      <c r="G41" s="29"/>
      <c r="H41" s="35"/>
      <c r="I41" s="888">
        <f>+I37+I39</f>
        <v>700000</v>
      </c>
      <c r="J41" s="155" t="s">
        <v>32</v>
      </c>
      <c r="K41" s="152"/>
      <c r="L41" s="29"/>
      <c r="M41" s="29"/>
      <c r="N41" s="29"/>
      <c r="O41" s="29"/>
      <c r="P41" s="29"/>
      <c r="Q41" s="29"/>
      <c r="R41" s="225"/>
    </row>
    <row r="42" spans="1:18" ht="22.8">
      <c r="A42" s="266"/>
      <c r="B42" s="38"/>
      <c r="C42" s="29"/>
      <c r="D42" s="29"/>
      <c r="E42" s="29"/>
      <c r="F42" s="29"/>
      <c r="G42" s="29"/>
      <c r="H42" s="35"/>
      <c r="I42" s="165"/>
      <c r="J42" s="165"/>
      <c r="K42" s="152"/>
      <c r="L42" s="29"/>
      <c r="M42" s="29"/>
      <c r="N42" s="29"/>
      <c r="O42" s="29"/>
      <c r="P42" s="29"/>
      <c r="Q42" s="29"/>
      <c r="R42" s="225"/>
    </row>
    <row r="43" spans="1:18" ht="22.8">
      <c r="A43" s="265" t="s">
        <v>420</v>
      </c>
      <c r="B43" s="161" t="s">
        <v>416</v>
      </c>
      <c r="C43" s="35"/>
      <c r="D43" s="35"/>
      <c r="E43" s="35"/>
      <c r="F43" s="35"/>
      <c r="G43" s="35"/>
      <c r="H43" s="35"/>
      <c r="I43" s="152"/>
      <c r="J43" s="152"/>
      <c r="K43" s="29"/>
      <c r="L43" s="35"/>
      <c r="M43" s="44"/>
      <c r="N43" s="29"/>
      <c r="O43" s="29"/>
      <c r="P43" s="29"/>
      <c r="Q43" s="29"/>
      <c r="R43" s="225"/>
    </row>
    <row r="44" spans="1:18" ht="23.4" thickBot="1">
      <c r="A44" s="46"/>
      <c r="B44" s="29"/>
      <c r="C44" s="29"/>
      <c r="D44" s="29"/>
      <c r="E44" s="29"/>
      <c r="F44" s="29"/>
      <c r="G44" s="29"/>
      <c r="H44" s="35"/>
      <c r="I44" s="36"/>
      <c r="J44" s="29"/>
      <c r="K44" s="29"/>
      <c r="L44" s="29"/>
      <c r="M44" s="29"/>
      <c r="N44" s="29"/>
      <c r="O44" s="29"/>
      <c r="P44" s="29"/>
      <c r="Q44" s="29"/>
      <c r="R44" s="225"/>
    </row>
    <row r="45" spans="1:18" ht="24" thickTop="1" thickBot="1">
      <c r="A45" s="264" t="s">
        <v>202</v>
      </c>
      <c r="B45" s="87" t="s">
        <v>203</v>
      </c>
      <c r="C45" s="29"/>
      <c r="D45" s="29"/>
      <c r="E45" s="29"/>
      <c r="F45" s="29"/>
      <c r="G45" s="29"/>
      <c r="H45" s="35"/>
      <c r="I45" s="1167">
        <v>0.9</v>
      </c>
      <c r="J45" s="29"/>
      <c r="K45" s="29"/>
      <c r="L45" s="29"/>
      <c r="M45" s="29"/>
      <c r="N45" s="29"/>
      <c r="O45" s="29"/>
      <c r="P45" s="29"/>
      <c r="Q45" s="29"/>
      <c r="R45" s="225"/>
    </row>
    <row r="46" spans="1:18" ht="24" thickTop="1" thickBot="1">
      <c r="A46" s="46"/>
      <c r="B46" s="29"/>
      <c r="C46" s="29"/>
      <c r="D46" s="29"/>
      <c r="E46" s="29"/>
      <c r="F46" s="29"/>
      <c r="G46" s="29"/>
      <c r="H46" s="35"/>
      <c r="I46" s="36"/>
      <c r="J46" s="29"/>
      <c r="K46" s="29"/>
      <c r="L46" s="29"/>
      <c r="M46" s="29"/>
      <c r="N46" s="29"/>
      <c r="O46" s="29"/>
      <c r="P46" s="29"/>
      <c r="Q46" s="29"/>
      <c r="R46" s="225"/>
    </row>
    <row r="47" spans="1:18" ht="24" thickTop="1" thickBot="1">
      <c r="A47" s="264" t="s">
        <v>204</v>
      </c>
      <c r="B47" s="87" t="s">
        <v>205</v>
      </c>
      <c r="C47" s="29"/>
      <c r="D47" s="29"/>
      <c r="E47" s="29"/>
      <c r="F47" s="29"/>
      <c r="G47" s="29"/>
      <c r="H47" s="35"/>
      <c r="I47" s="1167">
        <v>0</v>
      </c>
      <c r="J47" s="29"/>
      <c r="K47" s="29"/>
      <c r="L47" s="29"/>
      <c r="M47" s="29"/>
      <c r="N47" s="29"/>
      <c r="O47" s="29"/>
      <c r="P47" s="29"/>
      <c r="Q47" s="29"/>
      <c r="R47" s="225"/>
    </row>
    <row r="48" spans="1:18" ht="23.4" thickTop="1">
      <c r="A48" s="46"/>
      <c r="B48" s="29"/>
      <c r="C48" s="29"/>
      <c r="D48" s="29"/>
      <c r="E48" s="29"/>
      <c r="F48" s="29"/>
      <c r="G48" s="29"/>
      <c r="H48" s="35"/>
      <c r="I48" s="36"/>
      <c r="J48" s="29"/>
      <c r="K48" s="29"/>
      <c r="L48" s="29"/>
      <c r="M48" s="29"/>
      <c r="N48" s="29"/>
      <c r="O48" s="29"/>
      <c r="P48" s="29"/>
      <c r="Q48" s="29"/>
      <c r="R48" s="225"/>
    </row>
    <row r="49" spans="1:18" ht="22.8">
      <c r="A49" s="266" t="s">
        <v>206</v>
      </c>
      <c r="B49" s="29"/>
      <c r="C49" s="38" t="s">
        <v>49</v>
      </c>
      <c r="D49" s="29"/>
      <c r="E49" s="29"/>
      <c r="F49" s="29"/>
      <c r="G49" s="29"/>
      <c r="H49" s="35"/>
      <c r="I49" s="179">
        <f>sysdata!E103*'bulk freight'!I45</f>
        <v>48.852000000000004</v>
      </c>
      <c r="J49" s="167"/>
      <c r="K49" s="29"/>
      <c r="L49" s="29"/>
      <c r="M49" s="29"/>
      <c r="N49" s="29"/>
      <c r="O49" s="29"/>
      <c r="P49" s="29"/>
      <c r="Q49" s="29"/>
      <c r="R49" s="225"/>
    </row>
    <row r="50" spans="1:18" ht="22.8">
      <c r="A50" s="46"/>
      <c r="B50" s="29"/>
      <c r="C50" s="29"/>
      <c r="D50" s="29"/>
      <c r="E50" s="29"/>
      <c r="F50" s="29"/>
      <c r="G50" s="29"/>
      <c r="H50" s="35"/>
      <c r="I50" s="89"/>
      <c r="J50" s="29"/>
      <c r="K50" s="29"/>
      <c r="L50" s="29"/>
      <c r="M50" s="29"/>
      <c r="N50" s="29"/>
      <c r="O50" s="29"/>
      <c r="P50" s="29"/>
      <c r="Q50" s="29"/>
      <c r="R50" s="225"/>
    </row>
    <row r="51" spans="1:18" ht="22.8">
      <c r="A51" s="264" t="s">
        <v>207</v>
      </c>
      <c r="B51" s="29"/>
      <c r="C51" s="87" t="s">
        <v>50</v>
      </c>
      <c r="D51" s="29"/>
      <c r="E51" s="29"/>
      <c r="F51" s="29"/>
      <c r="G51" s="29"/>
      <c r="H51" s="35"/>
      <c r="I51" s="185">
        <f>sysdata!E103*I47</f>
        <v>0</v>
      </c>
      <c r="J51" s="29"/>
      <c r="K51" s="29"/>
      <c r="L51" s="29"/>
      <c r="M51" s="29"/>
      <c r="N51" s="29"/>
      <c r="O51" s="29"/>
      <c r="P51" s="29"/>
      <c r="Q51" s="29"/>
      <c r="R51" s="225"/>
    </row>
    <row r="52" spans="1:18" ht="23.4" thickBot="1">
      <c r="A52" s="46"/>
      <c r="B52" s="29"/>
      <c r="C52" s="29"/>
      <c r="D52" s="29"/>
      <c r="E52" s="29"/>
      <c r="F52" s="29"/>
      <c r="G52" s="29"/>
      <c r="H52" s="35"/>
      <c r="I52" s="89"/>
      <c r="J52" s="29"/>
      <c r="K52" s="29"/>
      <c r="L52" s="29"/>
      <c r="M52" s="29"/>
      <c r="N52" s="29"/>
      <c r="O52" s="29"/>
      <c r="P52" s="29"/>
      <c r="Q52" s="29"/>
      <c r="R52" s="225"/>
    </row>
    <row r="53" spans="1:18" ht="24" thickTop="1" thickBot="1">
      <c r="A53" s="1153" t="str">
        <f>+A3</f>
        <v>RAILWAY BULK FREIGHT TRAFFIC COSTING SUB-MODEL</v>
      </c>
      <c r="B53" s="1154"/>
      <c r="C53" s="1154"/>
      <c r="D53" s="1154"/>
      <c r="E53" s="1154"/>
      <c r="F53" s="1154"/>
      <c r="G53" s="1154"/>
      <c r="H53" s="1154"/>
      <c r="I53" s="1155"/>
      <c r="J53" s="1156"/>
      <c r="K53" s="1157"/>
      <c r="L53" s="1157"/>
      <c r="M53" s="1157"/>
      <c r="N53" s="1157"/>
      <c r="O53" s="1157"/>
      <c r="P53" s="1157"/>
      <c r="Q53" s="1157"/>
      <c r="R53" s="1158"/>
    </row>
    <row r="54" spans="1:18" ht="23.4" thickTop="1">
      <c r="A54" s="46"/>
      <c r="B54" s="29"/>
      <c r="C54" s="29"/>
      <c r="D54" s="29"/>
      <c r="E54" s="29"/>
      <c r="F54" s="29"/>
      <c r="G54" s="29"/>
      <c r="H54" s="35"/>
      <c r="I54" s="89"/>
      <c r="J54" s="29"/>
      <c r="K54" s="29"/>
      <c r="L54" s="29"/>
      <c r="M54" s="29"/>
      <c r="N54" s="29"/>
      <c r="O54" s="29"/>
      <c r="P54" s="29"/>
      <c r="Q54" s="29"/>
      <c r="R54" s="225"/>
    </row>
    <row r="55" spans="1:18" ht="22.8">
      <c r="A55" s="263" t="s">
        <v>406</v>
      </c>
      <c r="B55" s="34" t="s">
        <v>208</v>
      </c>
      <c r="C55" s="29"/>
      <c r="D55" s="29"/>
      <c r="E55" s="29"/>
      <c r="F55" s="29"/>
      <c r="G55" s="29"/>
      <c r="H55" s="35"/>
      <c r="I55" s="89"/>
      <c r="J55" s="29"/>
      <c r="K55" s="29"/>
      <c r="L55" s="29"/>
      <c r="M55" s="29"/>
      <c r="N55" s="29"/>
      <c r="O55" s="29"/>
      <c r="P55" s="29"/>
      <c r="Q55" s="29"/>
      <c r="R55" s="225"/>
    </row>
    <row r="56" spans="1:18" ht="22.8">
      <c r="A56" s="46"/>
      <c r="B56" s="29"/>
      <c r="C56" s="29"/>
      <c r="D56" s="29"/>
      <c r="E56" s="29"/>
      <c r="F56" s="29"/>
      <c r="G56" s="29"/>
      <c r="H56" s="35"/>
      <c r="I56" s="89"/>
      <c r="J56" s="29"/>
      <c r="K56" s="29"/>
      <c r="L56" s="29"/>
      <c r="M56" s="29"/>
      <c r="N56" s="29"/>
      <c r="O56" s="29"/>
      <c r="P56" s="29"/>
      <c r="Q56" s="29"/>
      <c r="R56" s="225"/>
    </row>
    <row r="57" spans="1:18" ht="22.8">
      <c r="A57" s="265" t="s">
        <v>421</v>
      </c>
      <c r="B57" s="161" t="s">
        <v>115</v>
      </c>
      <c r="C57" s="29"/>
      <c r="D57" s="29"/>
      <c r="E57" s="29"/>
      <c r="F57" s="45"/>
      <c r="G57" s="45"/>
      <c r="H57" s="35"/>
      <c r="I57" s="35"/>
      <c r="J57" s="29"/>
      <c r="K57" s="38"/>
      <c r="L57" s="29"/>
      <c r="M57" s="29"/>
      <c r="N57" s="29"/>
      <c r="O57" s="29"/>
      <c r="P57" s="29"/>
      <c r="Q57" s="29"/>
      <c r="R57" s="225"/>
    </row>
    <row r="58" spans="1:18" ht="23.4" thickBot="1">
      <c r="A58" s="266"/>
      <c r="B58" s="38"/>
      <c r="C58" s="29"/>
      <c r="D58" s="29"/>
      <c r="E58" s="29"/>
      <c r="F58" s="45"/>
      <c r="G58" s="45"/>
      <c r="H58" s="35"/>
      <c r="I58" s="35"/>
      <c r="J58" s="29"/>
      <c r="K58" s="38"/>
      <c r="L58" s="29"/>
      <c r="M58" s="29"/>
      <c r="N58" s="29"/>
      <c r="O58" s="29"/>
      <c r="P58" s="29"/>
      <c r="Q58" s="29"/>
      <c r="R58" s="225"/>
    </row>
    <row r="59" spans="1:18" ht="24" thickTop="1" thickBot="1">
      <c r="A59" s="266" t="s">
        <v>422</v>
      </c>
      <c r="B59" s="38"/>
      <c r="C59" s="38" t="s">
        <v>366</v>
      </c>
      <c r="D59" s="29"/>
      <c r="E59" s="29"/>
      <c r="F59" s="45"/>
      <c r="G59" s="45"/>
      <c r="H59" s="35"/>
      <c r="I59" s="1166" t="s">
        <v>101</v>
      </c>
      <c r="J59" s="46"/>
      <c r="K59" s="38"/>
      <c r="L59" s="29"/>
      <c r="M59" s="29"/>
      <c r="N59" s="29"/>
      <c r="O59" s="29"/>
      <c r="P59" s="29"/>
      <c r="Q59" s="29"/>
      <c r="R59" s="225"/>
    </row>
    <row r="60" spans="1:18" ht="24" thickTop="1" thickBot="1">
      <c r="A60" s="46"/>
      <c r="B60" s="29"/>
      <c r="C60" s="29"/>
      <c r="D60" s="29"/>
      <c r="E60" s="29"/>
      <c r="F60" s="29"/>
      <c r="G60" s="29"/>
      <c r="H60" s="35"/>
      <c r="I60" s="33"/>
      <c r="J60" s="29"/>
      <c r="K60" s="29"/>
      <c r="L60" s="29"/>
      <c r="M60" s="29"/>
      <c r="N60" s="29"/>
      <c r="O60" s="29"/>
      <c r="P60" s="29"/>
      <c r="Q60" s="29"/>
      <c r="R60" s="225"/>
    </row>
    <row r="61" spans="1:18" ht="24" thickTop="1" thickBot="1">
      <c r="A61" s="266" t="s">
        <v>423</v>
      </c>
      <c r="B61" s="29"/>
      <c r="C61" s="38" t="s">
        <v>418</v>
      </c>
      <c r="D61" s="29"/>
      <c r="E61" s="29"/>
      <c r="F61" s="29"/>
      <c r="G61" s="35" t="s">
        <v>419</v>
      </c>
      <c r="H61" s="35"/>
      <c r="I61" s="1165">
        <v>40</v>
      </c>
      <c r="J61" s="46"/>
      <c r="K61" s="29"/>
      <c r="L61" s="29"/>
      <c r="M61" s="29"/>
      <c r="N61" s="29"/>
      <c r="O61" s="29"/>
      <c r="P61" s="29"/>
      <c r="Q61" s="29"/>
      <c r="R61" s="225"/>
    </row>
    <row r="62" spans="1:18" ht="23.4" thickTop="1">
      <c r="A62" s="46"/>
      <c r="B62" s="29"/>
      <c r="C62" s="29"/>
      <c r="D62" s="29"/>
      <c r="E62" s="29"/>
      <c r="F62" s="29"/>
      <c r="G62" s="29"/>
      <c r="H62" s="35"/>
      <c r="I62" s="33"/>
      <c r="J62" s="29"/>
      <c r="K62" s="29"/>
      <c r="L62" s="29"/>
      <c r="M62" s="29"/>
      <c r="N62" s="29"/>
      <c r="O62" s="29"/>
      <c r="P62" s="29"/>
      <c r="Q62" s="29"/>
      <c r="R62" s="225"/>
    </row>
    <row r="63" spans="1:18" ht="22.8">
      <c r="A63" s="265" t="s">
        <v>424</v>
      </c>
      <c r="B63" s="38" t="s">
        <v>47</v>
      </c>
      <c r="C63" s="29"/>
      <c r="D63" s="29"/>
      <c r="E63" s="29"/>
      <c r="F63" s="29"/>
      <c r="G63" s="29"/>
      <c r="H63" s="35"/>
      <c r="I63" s="1006">
        <f>sysdata!D103+I49</f>
        <v>75.852000000000004</v>
      </c>
      <c r="J63" s="91"/>
      <c r="K63" s="35"/>
      <c r="L63" s="29"/>
      <c r="M63" s="29"/>
      <c r="N63" s="29"/>
      <c r="O63" s="29"/>
      <c r="P63" s="29"/>
      <c r="Q63" s="29"/>
      <c r="R63" s="225"/>
    </row>
    <row r="64" spans="1:18" ht="22.8">
      <c r="A64" s="46"/>
      <c r="B64" s="29"/>
      <c r="C64" s="29"/>
      <c r="D64" s="29"/>
      <c r="E64" s="29"/>
      <c r="F64" s="29"/>
      <c r="G64" s="29"/>
      <c r="H64" s="35"/>
      <c r="I64" s="168"/>
      <c r="J64" s="29"/>
      <c r="K64" s="29"/>
      <c r="L64" s="29"/>
      <c r="M64" s="29"/>
      <c r="N64" s="29"/>
      <c r="O64" s="29"/>
      <c r="P64" s="29"/>
      <c r="Q64" s="29"/>
      <c r="R64" s="225"/>
    </row>
    <row r="65" spans="1:18" ht="22.8">
      <c r="A65" s="264" t="s">
        <v>426</v>
      </c>
      <c r="B65" s="87" t="s">
        <v>48</v>
      </c>
      <c r="C65" s="29"/>
      <c r="D65" s="29"/>
      <c r="E65" s="29"/>
      <c r="F65" s="29"/>
      <c r="G65" s="29"/>
      <c r="H65" s="35"/>
      <c r="I65" s="1006">
        <f>sysdata!D103+I51</f>
        <v>27</v>
      </c>
      <c r="J65" s="29"/>
      <c r="K65" s="29"/>
      <c r="L65" s="29"/>
      <c r="M65" s="29"/>
      <c r="N65" s="29"/>
      <c r="O65" s="29"/>
      <c r="P65" s="29"/>
      <c r="Q65" s="29"/>
      <c r="R65" s="225"/>
    </row>
    <row r="66" spans="1:18" ht="22.8">
      <c r="A66" s="46"/>
      <c r="B66" s="29"/>
      <c r="C66" s="29"/>
      <c r="D66" s="29"/>
      <c r="E66" s="29"/>
      <c r="F66" s="29"/>
      <c r="G66" s="29"/>
      <c r="H66" s="35"/>
      <c r="I66" s="89"/>
      <c r="J66" s="29"/>
      <c r="K66" s="29"/>
      <c r="L66" s="29"/>
      <c r="M66" s="29"/>
      <c r="N66" s="29"/>
      <c r="O66" s="29"/>
      <c r="P66" s="29"/>
      <c r="Q66" s="29"/>
      <c r="R66" s="225"/>
    </row>
    <row r="67" spans="1:18" ht="22.8">
      <c r="A67" s="265" t="s">
        <v>429</v>
      </c>
      <c r="B67" s="38" t="s">
        <v>41</v>
      </c>
      <c r="C67" s="29"/>
      <c r="D67" s="29"/>
      <c r="E67" s="29"/>
      <c r="F67" s="29"/>
      <c r="G67" s="29"/>
      <c r="H67" s="35"/>
      <c r="I67" s="35"/>
      <c r="J67" s="29"/>
      <c r="K67" s="29"/>
      <c r="L67" s="29"/>
      <c r="M67" s="29"/>
      <c r="N67" s="29"/>
      <c r="O67" s="29"/>
      <c r="P67" s="29"/>
      <c r="Q67" s="29"/>
      <c r="R67" s="225"/>
    </row>
    <row r="68" spans="1:18" ht="23.4" thickBot="1">
      <c r="A68" s="46"/>
      <c r="B68" s="29"/>
      <c r="C68" s="29"/>
      <c r="D68" s="29"/>
      <c r="E68" s="29"/>
      <c r="F68" s="29"/>
      <c r="G68" s="29"/>
      <c r="H68" s="35"/>
      <c r="I68" s="35"/>
      <c r="J68" s="29"/>
      <c r="K68" s="29"/>
      <c r="L68" s="29"/>
      <c r="M68" s="29"/>
      <c r="N68" s="29"/>
      <c r="O68" s="29"/>
      <c r="P68" s="29"/>
      <c r="Q68" s="29"/>
      <c r="R68" s="225"/>
    </row>
    <row r="69" spans="1:18" ht="24" thickTop="1" thickBot="1">
      <c r="A69" s="265" t="s">
        <v>431</v>
      </c>
      <c r="B69" s="29"/>
      <c r="C69" s="38" t="s">
        <v>46</v>
      </c>
      <c r="D69" s="29"/>
      <c r="E69" s="29"/>
      <c r="F69" s="29"/>
      <c r="G69" s="29"/>
      <c r="H69" s="35"/>
      <c r="I69" s="1166" t="str">
        <f>containers!I80</f>
        <v>Diesel Elec. 4,000 HP</v>
      </c>
      <c r="J69" s="29"/>
      <c r="K69" s="29"/>
      <c r="L69" s="29"/>
      <c r="M69" s="29"/>
      <c r="N69" s="29"/>
      <c r="O69" s="29"/>
      <c r="P69" s="29"/>
      <c r="Q69" s="29"/>
      <c r="R69" s="225"/>
    </row>
    <row r="70" spans="1:18" ht="24" thickTop="1" thickBot="1">
      <c r="A70" s="46"/>
      <c r="B70" s="29"/>
      <c r="C70" s="29"/>
      <c r="D70" s="29"/>
      <c r="E70" s="29"/>
      <c r="F70" s="29"/>
      <c r="G70" s="29"/>
      <c r="H70" s="35"/>
      <c r="I70" s="33"/>
      <c r="J70" s="29"/>
      <c r="K70" s="29"/>
      <c r="L70" s="29"/>
      <c r="M70" s="29"/>
      <c r="N70" s="29"/>
      <c r="O70" s="29"/>
      <c r="P70" s="29"/>
      <c r="Q70" s="29"/>
      <c r="R70" s="225"/>
    </row>
    <row r="71" spans="1:18" ht="24" thickTop="1" thickBot="1">
      <c r="A71" s="265" t="s">
        <v>432</v>
      </c>
      <c r="B71" s="29"/>
      <c r="C71" s="29"/>
      <c r="D71" s="29"/>
      <c r="E71" s="29"/>
      <c r="F71" s="29"/>
      <c r="G71" s="29"/>
      <c r="H71" s="35"/>
      <c r="I71" s="1460" t="s">
        <v>894</v>
      </c>
      <c r="J71" s="29"/>
      <c r="K71" s="29"/>
      <c r="L71" s="29"/>
      <c r="M71" s="29"/>
      <c r="N71" s="29"/>
      <c r="O71" s="29"/>
      <c r="P71" s="29"/>
      <c r="Q71" s="29"/>
      <c r="R71" s="225"/>
    </row>
    <row r="72" spans="1:18" ht="24" thickTop="1" thickBot="1">
      <c r="A72" s="46"/>
      <c r="B72" s="29"/>
      <c r="C72" s="29"/>
      <c r="D72" s="29"/>
      <c r="E72" s="29"/>
      <c r="F72" s="29"/>
      <c r="G72" s="29"/>
      <c r="H72" s="35"/>
      <c r="I72" s="33"/>
      <c r="J72" s="29"/>
      <c r="K72" s="29"/>
      <c r="L72" s="29"/>
      <c r="M72" s="29"/>
      <c r="N72" s="29"/>
      <c r="O72" s="29"/>
      <c r="P72" s="29"/>
      <c r="Q72" s="29"/>
      <c r="R72" s="225"/>
    </row>
    <row r="73" spans="1:18" ht="24" thickTop="1" thickBot="1">
      <c r="A73" s="265" t="s">
        <v>901</v>
      </c>
      <c r="B73" s="29"/>
      <c r="C73" s="38" t="s">
        <v>418</v>
      </c>
      <c r="D73" s="29"/>
      <c r="E73" s="29"/>
      <c r="F73" s="29"/>
      <c r="G73" s="29"/>
      <c r="H73" s="35"/>
      <c r="I73" s="1165">
        <v>2</v>
      </c>
      <c r="J73" s="29"/>
      <c r="K73" s="29"/>
      <c r="L73" s="29"/>
      <c r="M73" s="29"/>
      <c r="N73" s="29"/>
      <c r="O73" s="29"/>
      <c r="P73" s="29"/>
      <c r="Q73" s="29"/>
      <c r="R73" s="225"/>
    </row>
    <row r="74" spans="1:18" ht="24" thickTop="1" thickBot="1">
      <c r="A74" s="46"/>
      <c r="B74" s="29"/>
      <c r="C74" s="29"/>
      <c r="D74" s="29"/>
      <c r="E74" s="29"/>
      <c r="F74" s="29"/>
      <c r="G74" s="29"/>
      <c r="H74" s="35"/>
      <c r="I74" s="33"/>
      <c r="J74" s="29"/>
      <c r="K74" s="29"/>
      <c r="L74" s="29"/>
      <c r="M74" s="29"/>
      <c r="N74" s="29"/>
      <c r="O74" s="29"/>
      <c r="P74" s="29"/>
      <c r="Q74" s="29"/>
      <c r="R74" s="225"/>
    </row>
    <row r="75" spans="1:18" ht="24" thickTop="1" thickBot="1">
      <c r="A75" s="265" t="s">
        <v>433</v>
      </c>
      <c r="B75" s="38" t="s">
        <v>425</v>
      </c>
      <c r="C75" s="29"/>
      <c r="D75" s="29"/>
      <c r="E75" s="29"/>
      <c r="F75" s="29"/>
      <c r="G75" s="29"/>
      <c r="H75" s="35"/>
      <c r="I75" s="1179">
        <f>sysdata!E66</f>
        <v>150</v>
      </c>
      <c r="J75" s="29"/>
      <c r="K75" s="29"/>
      <c r="L75" s="29"/>
      <c r="M75" s="29"/>
      <c r="N75" s="29"/>
      <c r="O75" s="29"/>
      <c r="P75" s="29"/>
      <c r="Q75" s="29"/>
      <c r="R75" s="225"/>
    </row>
    <row r="76" spans="1:18" ht="24" thickTop="1" thickBot="1">
      <c r="A76" s="39"/>
      <c r="B76" s="35"/>
      <c r="C76" s="29"/>
      <c r="D76" s="29"/>
      <c r="E76" s="29"/>
      <c r="F76" s="29"/>
      <c r="G76" s="29"/>
      <c r="H76" s="35"/>
      <c r="I76" s="36"/>
      <c r="J76" s="29"/>
      <c r="K76" s="29"/>
      <c r="L76" s="29"/>
      <c r="M76" s="29"/>
      <c r="N76" s="29"/>
      <c r="O76" s="29"/>
      <c r="P76" s="29"/>
      <c r="Q76" s="29"/>
      <c r="R76" s="225"/>
    </row>
    <row r="77" spans="1:18" ht="24" thickTop="1" thickBot="1">
      <c r="A77" s="265" t="s">
        <v>435</v>
      </c>
      <c r="B77" s="38" t="s">
        <v>427</v>
      </c>
      <c r="C77" s="29"/>
      <c r="D77" s="29"/>
      <c r="E77" s="29"/>
      <c r="F77" s="29"/>
      <c r="G77" s="29"/>
      <c r="H77" s="35"/>
      <c r="I77" s="1166" t="s">
        <v>414</v>
      </c>
      <c r="J77" s="46"/>
      <c r="K77" s="29"/>
      <c r="L77" s="29"/>
      <c r="M77" s="29"/>
      <c r="N77" s="29"/>
      <c r="O77" s="29"/>
      <c r="P77" s="29"/>
      <c r="Q77" s="29"/>
      <c r="R77" s="225"/>
    </row>
    <row r="78" spans="1:18" ht="23.4" thickTop="1">
      <c r="A78" s="46"/>
      <c r="B78" s="29"/>
      <c r="C78" s="29"/>
      <c r="D78" s="29"/>
      <c r="E78" s="29"/>
      <c r="F78" s="29"/>
      <c r="G78" s="29"/>
      <c r="H78" s="35"/>
      <c r="I78" s="33"/>
      <c r="J78" s="29"/>
      <c r="K78" s="29"/>
      <c r="L78" s="29"/>
      <c r="M78" s="29"/>
      <c r="N78" s="29"/>
      <c r="O78" s="29"/>
      <c r="P78" s="29"/>
      <c r="Q78" s="29"/>
      <c r="R78" s="225"/>
    </row>
    <row r="79" spans="1:18" ht="22.8">
      <c r="A79" s="265" t="s">
        <v>436</v>
      </c>
      <c r="B79" s="29"/>
      <c r="C79" s="38" t="s">
        <v>428</v>
      </c>
      <c r="D79" s="29"/>
      <c r="E79" s="29"/>
      <c r="F79" s="29"/>
      <c r="G79" s="29"/>
      <c r="H79" s="35"/>
      <c r="I79" s="1007">
        <f>IF(I77="YES",40,0)</f>
        <v>0</v>
      </c>
      <c r="J79" s="29"/>
      <c r="K79" s="29"/>
      <c r="L79" s="29"/>
      <c r="M79" s="29"/>
      <c r="N79" s="29"/>
      <c r="O79" s="29"/>
      <c r="P79" s="29"/>
      <c r="Q79" s="29"/>
      <c r="R79" s="225"/>
    </row>
    <row r="80" spans="1:18" ht="22.8">
      <c r="A80" s="46"/>
      <c r="B80" s="29"/>
      <c r="C80" s="29"/>
      <c r="D80" s="29"/>
      <c r="E80" s="29"/>
      <c r="F80" s="29"/>
      <c r="G80" s="29"/>
      <c r="H80" s="35"/>
      <c r="I80" s="892"/>
      <c r="J80" s="29"/>
      <c r="K80" s="29"/>
      <c r="L80" s="29"/>
      <c r="M80" s="29"/>
      <c r="N80" s="29"/>
      <c r="O80" s="29"/>
      <c r="P80" s="29"/>
      <c r="Q80" s="29"/>
      <c r="R80" s="225"/>
    </row>
    <row r="81" spans="1:18" ht="22.8">
      <c r="A81" s="264" t="s">
        <v>445</v>
      </c>
      <c r="B81" s="87" t="s">
        <v>53</v>
      </c>
      <c r="C81" s="29"/>
      <c r="D81" s="29"/>
      <c r="E81" s="29"/>
      <c r="F81" s="29"/>
      <c r="G81" s="29"/>
      <c r="H81" s="35"/>
      <c r="I81" s="929">
        <f>+(I61*I63)+I79</f>
        <v>3034.08</v>
      </c>
      <c r="J81" s="29"/>
      <c r="K81" s="29"/>
      <c r="L81" s="29"/>
      <c r="M81" s="29"/>
      <c r="N81" s="29"/>
      <c r="O81" s="29"/>
      <c r="P81" s="29"/>
      <c r="Q81" s="29"/>
      <c r="R81" s="225"/>
    </row>
    <row r="82" spans="1:18" ht="22.8">
      <c r="A82" s="46"/>
      <c r="B82" s="29"/>
      <c r="C82" s="29"/>
      <c r="D82" s="29"/>
      <c r="E82" s="29"/>
      <c r="F82" s="29"/>
      <c r="G82" s="29"/>
      <c r="H82" s="35"/>
      <c r="I82" s="929"/>
      <c r="J82" s="29"/>
      <c r="K82" s="29"/>
      <c r="L82" s="29"/>
      <c r="M82" s="29"/>
      <c r="N82" s="29"/>
      <c r="O82" s="29"/>
      <c r="P82" s="29"/>
      <c r="Q82" s="29"/>
      <c r="R82" s="225"/>
    </row>
    <row r="83" spans="1:18" ht="22.8">
      <c r="A83" s="264" t="s">
        <v>446</v>
      </c>
      <c r="B83" s="87" t="s">
        <v>54</v>
      </c>
      <c r="C83" s="29"/>
      <c r="D83" s="29"/>
      <c r="E83" s="29"/>
      <c r="F83" s="29"/>
      <c r="G83" s="29"/>
      <c r="H83" s="35"/>
      <c r="I83" s="929">
        <f>+(I61*I65)+I79</f>
        <v>1080</v>
      </c>
      <c r="J83" s="29"/>
      <c r="K83" s="29"/>
      <c r="L83" s="29"/>
      <c r="M83" s="29"/>
      <c r="N83" s="29"/>
      <c r="O83" s="29"/>
      <c r="P83" s="29"/>
      <c r="Q83" s="29"/>
      <c r="R83" s="225"/>
    </row>
    <row r="84" spans="1:18" ht="22.8">
      <c r="A84" s="46"/>
      <c r="B84" s="29"/>
      <c r="C84" s="29"/>
      <c r="D84" s="29"/>
      <c r="E84" s="29"/>
      <c r="F84" s="29"/>
      <c r="G84" s="29"/>
      <c r="H84" s="35"/>
      <c r="I84" s="929"/>
      <c r="J84" s="29"/>
      <c r="K84" s="29"/>
      <c r="L84" s="29"/>
      <c r="M84" s="29"/>
      <c r="N84" s="29"/>
      <c r="O84" s="29"/>
      <c r="P84" s="29"/>
      <c r="Q84" s="29"/>
      <c r="R84" s="225"/>
    </row>
    <row r="85" spans="1:18" ht="22.8">
      <c r="A85" s="264" t="s">
        <v>447</v>
      </c>
      <c r="B85" s="87" t="s">
        <v>55</v>
      </c>
      <c r="C85" s="29"/>
      <c r="D85" s="29"/>
      <c r="E85" s="29"/>
      <c r="F85" s="29"/>
      <c r="G85" s="29"/>
      <c r="H85" s="35"/>
      <c r="I85" s="929">
        <f>+I81+(I73*I75)</f>
        <v>3334.08</v>
      </c>
      <c r="J85" s="29"/>
      <c r="K85" s="29"/>
      <c r="L85" s="29"/>
      <c r="M85" s="29"/>
      <c r="N85" s="29"/>
      <c r="O85" s="29"/>
      <c r="P85" s="29"/>
      <c r="Q85" s="29"/>
      <c r="R85" s="225"/>
    </row>
    <row r="86" spans="1:18" ht="22.8">
      <c r="A86" s="264"/>
      <c r="B86" s="87"/>
      <c r="C86" s="29"/>
      <c r="D86" s="29"/>
      <c r="E86" s="29"/>
      <c r="F86" s="29"/>
      <c r="G86" s="29"/>
      <c r="H86" s="35"/>
      <c r="I86" s="929"/>
      <c r="J86" s="29"/>
      <c r="K86" s="29"/>
      <c r="L86" s="29"/>
      <c r="M86" s="29"/>
      <c r="N86" s="29"/>
      <c r="O86" s="29"/>
      <c r="P86" s="29"/>
      <c r="Q86" s="29"/>
      <c r="R86" s="225"/>
    </row>
    <row r="87" spans="1:18" ht="22.8">
      <c r="A87" s="264" t="s">
        <v>448</v>
      </c>
      <c r="B87" s="87" t="s">
        <v>56</v>
      </c>
      <c r="C87" s="29"/>
      <c r="D87" s="29"/>
      <c r="E87" s="29"/>
      <c r="F87" s="29"/>
      <c r="G87" s="29"/>
      <c r="H87" s="35"/>
      <c r="I87" s="929">
        <f>+I83+(I73*I75)</f>
        <v>1380</v>
      </c>
      <c r="J87" s="29"/>
      <c r="K87" s="29"/>
      <c r="L87" s="29"/>
      <c r="M87" s="29"/>
      <c r="N87" s="29"/>
      <c r="O87" s="29"/>
      <c r="P87" s="29"/>
      <c r="Q87" s="29"/>
      <c r="R87" s="225"/>
    </row>
    <row r="88" spans="1:18" ht="22.8">
      <c r="A88" s="264"/>
      <c r="B88" s="87"/>
      <c r="C88" s="29"/>
      <c r="D88" s="29"/>
      <c r="E88" s="29"/>
      <c r="F88" s="29"/>
      <c r="G88" s="29"/>
      <c r="H88" s="35"/>
      <c r="I88" s="929"/>
      <c r="J88" s="29"/>
      <c r="K88" s="29"/>
      <c r="L88" s="29"/>
      <c r="M88" s="29"/>
      <c r="N88" s="29"/>
      <c r="O88" s="29"/>
      <c r="P88" s="29"/>
      <c r="Q88" s="29"/>
      <c r="R88" s="225"/>
    </row>
    <row r="89" spans="1:18" ht="22.8">
      <c r="A89" s="265" t="s">
        <v>449</v>
      </c>
      <c r="B89" s="161" t="s">
        <v>430</v>
      </c>
      <c r="C89" s="29"/>
      <c r="D89" s="29"/>
      <c r="E89" s="29"/>
      <c r="F89" s="29"/>
      <c r="G89" s="29"/>
      <c r="H89" s="35"/>
      <c r="I89" s="897"/>
      <c r="J89" s="35"/>
      <c r="K89" s="29"/>
      <c r="L89" s="29"/>
      <c r="M89" s="29"/>
      <c r="N89" s="29"/>
      <c r="O89" s="29"/>
      <c r="P89" s="29"/>
      <c r="Q89" s="29"/>
      <c r="R89" s="225"/>
    </row>
    <row r="90" spans="1:18" ht="22.8">
      <c r="A90" s="46"/>
      <c r="B90" s="29"/>
      <c r="C90" s="29"/>
      <c r="D90" s="29"/>
      <c r="E90" s="29"/>
      <c r="F90" s="29"/>
      <c r="G90" s="29"/>
      <c r="H90" s="35"/>
      <c r="I90" s="892"/>
      <c r="J90" s="29"/>
      <c r="K90" s="29"/>
      <c r="L90" s="29"/>
      <c r="M90" s="29"/>
      <c r="N90" s="29"/>
      <c r="O90" s="29"/>
      <c r="P90" s="29"/>
      <c r="Q90" s="29"/>
      <c r="R90" s="225"/>
    </row>
    <row r="91" spans="1:18" ht="22.8">
      <c r="A91" s="265" t="s">
        <v>233</v>
      </c>
      <c r="B91" s="29"/>
      <c r="C91" s="38" t="s">
        <v>117</v>
      </c>
      <c r="D91" s="29"/>
      <c r="E91" s="29"/>
      <c r="F91" s="29"/>
      <c r="G91" s="29"/>
      <c r="H91" s="35"/>
      <c r="I91" s="892">
        <f>+I61*I49</f>
        <v>1954.0800000000002</v>
      </c>
      <c r="J91" s="29"/>
      <c r="K91" s="29"/>
      <c r="L91" s="29"/>
      <c r="M91" s="29"/>
      <c r="N91" s="29"/>
      <c r="O91" s="29"/>
      <c r="P91" s="29"/>
      <c r="Q91" s="29"/>
      <c r="R91" s="225"/>
    </row>
    <row r="92" spans="1:18" ht="22.8">
      <c r="A92" s="46"/>
      <c r="B92" s="29"/>
      <c r="C92" s="29"/>
      <c r="D92" s="29"/>
      <c r="E92" s="29"/>
      <c r="F92" s="29"/>
      <c r="G92" s="29"/>
      <c r="H92" s="35"/>
      <c r="I92" s="892"/>
      <c r="J92" s="29"/>
      <c r="K92" s="29"/>
      <c r="L92" s="29"/>
      <c r="M92" s="29"/>
      <c r="N92" s="29"/>
      <c r="O92" s="29"/>
      <c r="P92" s="29"/>
      <c r="Q92" s="29"/>
      <c r="R92" s="225"/>
    </row>
    <row r="93" spans="1:18" ht="22.8">
      <c r="A93" s="265" t="s">
        <v>234</v>
      </c>
      <c r="B93" s="29"/>
      <c r="C93" s="38" t="s">
        <v>118</v>
      </c>
      <c r="D93" s="29"/>
      <c r="E93" s="29"/>
      <c r="F93" s="29"/>
      <c r="G93" s="29"/>
      <c r="H93" s="35"/>
      <c r="I93" s="892">
        <f>+I51*I61</f>
        <v>0</v>
      </c>
      <c r="J93" s="29"/>
      <c r="K93" s="29"/>
      <c r="L93" s="29"/>
      <c r="M93" s="29"/>
      <c r="N93" s="29"/>
      <c r="O93" s="29"/>
      <c r="P93" s="29"/>
      <c r="Q93" s="29"/>
      <c r="R93" s="225"/>
    </row>
    <row r="94" spans="1:18" ht="22.8">
      <c r="A94" s="46"/>
      <c r="B94" s="29"/>
      <c r="C94" s="29"/>
      <c r="D94" s="29"/>
      <c r="E94" s="29"/>
      <c r="F94" s="29"/>
      <c r="G94" s="29"/>
      <c r="H94" s="35"/>
      <c r="I94" s="892"/>
      <c r="J94" s="29"/>
      <c r="K94" s="29" t="s">
        <v>7</v>
      </c>
      <c r="L94" s="29"/>
      <c r="M94" s="29" t="s">
        <v>768</v>
      </c>
      <c r="N94" s="29"/>
      <c r="O94" s="29"/>
      <c r="P94" s="29"/>
      <c r="Q94" s="29"/>
      <c r="R94" s="225"/>
    </row>
    <row r="95" spans="1:18" ht="22.8">
      <c r="A95" s="265" t="s">
        <v>235</v>
      </c>
      <c r="B95" s="29"/>
      <c r="C95" s="87" t="s">
        <v>122</v>
      </c>
      <c r="D95" s="29"/>
      <c r="E95" s="29"/>
      <c r="F95" s="29"/>
      <c r="G95" s="29"/>
      <c r="H95" s="35"/>
      <c r="I95" s="892">
        <f>+(0.5*I91)+(0.5*I93)</f>
        <v>977.04000000000008</v>
      </c>
      <c r="J95" s="29"/>
      <c r="K95" s="29"/>
      <c r="L95" s="29"/>
      <c r="M95" s="29" t="s">
        <v>769</v>
      </c>
      <c r="N95" s="29"/>
      <c r="O95" s="29"/>
      <c r="P95" s="29"/>
      <c r="Q95" s="29"/>
      <c r="R95" s="225"/>
    </row>
    <row r="96" spans="1:18" ht="23.4" thickBot="1">
      <c r="A96" s="46"/>
      <c r="B96" s="29"/>
      <c r="C96" s="29"/>
      <c r="D96" s="29"/>
      <c r="E96" s="29"/>
      <c r="F96" s="29"/>
      <c r="G96" s="29"/>
      <c r="H96" s="35"/>
      <c r="I96" s="892"/>
      <c r="J96" s="29"/>
      <c r="K96" s="29"/>
      <c r="L96" s="29"/>
      <c r="M96" s="29"/>
      <c r="N96" s="29"/>
      <c r="O96" s="29"/>
      <c r="P96" s="29"/>
      <c r="Q96" s="29"/>
      <c r="R96" s="225"/>
    </row>
    <row r="97" spans="1:18" ht="24" thickTop="1" thickBot="1">
      <c r="A97" s="265" t="s">
        <v>450</v>
      </c>
      <c r="B97" s="38" t="s">
        <v>434</v>
      </c>
      <c r="C97" s="29"/>
      <c r="D97" s="29"/>
      <c r="E97" s="29"/>
      <c r="F97" s="29"/>
      <c r="G97" s="29"/>
      <c r="H97" s="35"/>
      <c r="I97" s="892">
        <f>IF(I37&gt;I39,(I37/I91)*2,(I39/IE93)*2)</f>
        <v>716.44968476213865</v>
      </c>
      <c r="J97" s="29"/>
      <c r="K97" s="29">
        <f>IF(I97&gt;INT(I97)+0.2,ROUNDUP(I97,0),ROUNDDOWN(I97,0))</f>
        <v>717</v>
      </c>
      <c r="L97" s="29"/>
      <c r="M97" s="961">
        <f>+K97/K101</f>
        <v>9.2171230235248744E-2</v>
      </c>
      <c r="N97" s="29"/>
      <c r="O97" s="29"/>
      <c r="P97" s="29"/>
      <c r="Q97" s="29"/>
      <c r="R97" s="225"/>
    </row>
    <row r="98" spans="1:18" ht="23.4" thickTop="1">
      <c r="A98" s="265"/>
      <c r="B98" s="38"/>
      <c r="C98" s="29"/>
      <c r="D98" s="29"/>
      <c r="E98" s="29"/>
      <c r="F98" s="29"/>
      <c r="G98" s="29"/>
      <c r="H98" s="35"/>
      <c r="I98" s="892"/>
      <c r="J98" s="29"/>
      <c r="K98" s="29"/>
      <c r="L98" s="29"/>
      <c r="M98" s="29"/>
      <c r="N98" s="29"/>
      <c r="O98" s="29"/>
      <c r="P98" s="29"/>
      <c r="Q98" s="29"/>
      <c r="R98" s="225"/>
    </row>
    <row r="99" spans="1:18" ht="22.8">
      <c r="A99" s="265" t="s">
        <v>451</v>
      </c>
      <c r="B99" s="38" t="s">
        <v>87</v>
      </c>
      <c r="C99" s="29"/>
      <c r="D99" s="29"/>
      <c r="E99" s="29"/>
      <c r="F99" s="29"/>
      <c r="G99" s="29"/>
      <c r="H99" s="35"/>
      <c r="I99" s="892">
        <f>containers!I114+passengers!I105+sysdata!D35</f>
        <v>7062.3363095238092</v>
      </c>
      <c r="J99" s="29"/>
      <c r="K99" s="29">
        <f>IF(I99&gt;INT(I99)+0.2,ROUNDUP(I99,0),ROUNDDOWN(I99,0))</f>
        <v>7063</v>
      </c>
      <c r="L99" s="29"/>
      <c r="M99" s="29"/>
      <c r="N99" s="29"/>
      <c r="O99" s="29"/>
      <c r="P99" s="29"/>
      <c r="Q99" s="29"/>
      <c r="R99" s="225"/>
    </row>
    <row r="100" spans="1:18" ht="22.8">
      <c r="A100" s="265"/>
      <c r="B100" s="38"/>
      <c r="C100" s="29"/>
      <c r="D100" s="29"/>
      <c r="E100" s="29"/>
      <c r="F100" s="29"/>
      <c r="G100" s="29"/>
      <c r="H100" s="35"/>
      <c r="I100" s="892"/>
      <c r="J100" s="29"/>
      <c r="K100" s="29"/>
      <c r="L100" s="29"/>
      <c r="M100" s="29"/>
      <c r="N100" s="29"/>
      <c r="O100" s="29"/>
      <c r="P100" s="29"/>
      <c r="Q100" s="29"/>
      <c r="R100" s="225"/>
    </row>
    <row r="101" spans="1:18" ht="23.4" thickBot="1">
      <c r="A101" s="265" t="s">
        <v>452</v>
      </c>
      <c r="B101" s="38" t="s">
        <v>88</v>
      </c>
      <c r="C101" s="29"/>
      <c r="D101" s="29"/>
      <c r="E101" s="29"/>
      <c r="F101" s="29"/>
      <c r="G101" s="29"/>
      <c r="H101" s="35"/>
      <c r="I101" s="892">
        <f>+I97+I99</f>
        <v>7778.7859942859477</v>
      </c>
      <c r="J101" s="29"/>
      <c r="K101" s="29">
        <f>IF(I101&gt;INT(I101)+0.2,ROUNDUP(I101,0),ROUNDDOWN(I101,0))</f>
        <v>7779</v>
      </c>
      <c r="L101" s="29"/>
      <c r="M101" s="29"/>
      <c r="N101" s="29"/>
      <c r="O101" s="29"/>
      <c r="P101" s="29"/>
      <c r="Q101" s="29"/>
      <c r="R101" s="225"/>
    </row>
    <row r="102" spans="1:18" ht="24" thickTop="1" thickBot="1">
      <c r="A102" s="1153" t="str">
        <f>+A3</f>
        <v>RAILWAY BULK FREIGHT TRAFFIC COSTING SUB-MODEL</v>
      </c>
      <c r="B102" s="1154"/>
      <c r="C102" s="1154"/>
      <c r="D102" s="1154"/>
      <c r="E102" s="1154"/>
      <c r="F102" s="1154"/>
      <c r="G102" s="1154"/>
      <c r="H102" s="1154"/>
      <c r="I102" s="1155"/>
      <c r="J102" s="1156"/>
      <c r="K102" s="1157"/>
      <c r="L102" s="1157"/>
      <c r="M102" s="1157"/>
      <c r="N102" s="1157"/>
      <c r="O102" s="1157"/>
      <c r="P102" s="1157"/>
      <c r="Q102" s="1157"/>
      <c r="R102" s="1158"/>
    </row>
    <row r="103" spans="1:18" ht="23.4" thickTop="1">
      <c r="A103" s="265"/>
      <c r="B103" s="38"/>
      <c r="C103" s="29"/>
      <c r="D103" s="29"/>
      <c r="E103" s="29"/>
      <c r="F103" s="29"/>
      <c r="G103" s="29"/>
      <c r="H103" s="35"/>
      <c r="I103" s="97"/>
      <c r="J103" s="29"/>
      <c r="K103" s="29"/>
      <c r="L103" s="29"/>
      <c r="M103" s="29"/>
      <c r="N103" s="29"/>
      <c r="O103" s="29"/>
      <c r="P103" s="29"/>
      <c r="Q103" s="29"/>
      <c r="R103" s="225"/>
    </row>
    <row r="104" spans="1:18" ht="22.8">
      <c r="A104" s="263" t="s">
        <v>406</v>
      </c>
      <c r="B104" s="34" t="s">
        <v>157</v>
      </c>
      <c r="C104" s="29"/>
      <c r="D104" s="29"/>
      <c r="E104" s="29"/>
      <c r="F104" s="29"/>
      <c r="G104" s="29"/>
      <c r="H104" s="35"/>
      <c r="I104" s="97"/>
      <c r="J104" s="29"/>
      <c r="K104" s="29"/>
      <c r="L104" s="29"/>
      <c r="M104" s="29"/>
      <c r="N104" s="29"/>
      <c r="O104" s="29"/>
      <c r="P104" s="29"/>
      <c r="Q104" s="29"/>
      <c r="R104" s="225"/>
    </row>
    <row r="105" spans="1:18" ht="22.8">
      <c r="A105" s="266"/>
      <c r="B105" s="38"/>
      <c r="C105" s="29"/>
      <c r="D105" s="29"/>
      <c r="E105" s="29"/>
      <c r="F105" s="29"/>
      <c r="G105" s="29"/>
      <c r="H105" s="35"/>
      <c r="I105" s="36"/>
      <c r="J105" s="29"/>
      <c r="K105" s="29"/>
      <c r="L105" s="29"/>
      <c r="M105" s="29"/>
      <c r="N105" s="29"/>
      <c r="O105" s="29"/>
      <c r="P105" s="29"/>
      <c r="Q105" s="29"/>
      <c r="R105" s="225"/>
    </row>
    <row r="106" spans="1:18" ht="22.8">
      <c r="A106" s="265" t="s">
        <v>453</v>
      </c>
      <c r="B106" s="161" t="s">
        <v>60</v>
      </c>
      <c r="C106" s="38"/>
      <c r="D106" s="38"/>
      <c r="E106" s="38"/>
      <c r="F106" s="29"/>
      <c r="G106" s="29"/>
      <c r="H106" s="35"/>
      <c r="I106" s="35"/>
      <c r="J106" s="29"/>
      <c r="K106" s="29"/>
      <c r="L106" s="29"/>
      <c r="M106" s="29"/>
      <c r="N106" s="29"/>
      <c r="O106" s="29"/>
      <c r="P106" s="29"/>
      <c r="Q106" s="29"/>
      <c r="R106" s="225"/>
    </row>
    <row r="107" spans="1:18" ht="23.4" thickBot="1">
      <c r="A107" s="266"/>
      <c r="B107" s="38"/>
      <c r="C107" s="38"/>
      <c r="D107" s="38"/>
      <c r="E107" s="38"/>
      <c r="F107" s="29"/>
      <c r="G107" s="29"/>
      <c r="H107" s="35"/>
      <c r="I107" s="36"/>
      <c r="J107" s="29"/>
      <c r="K107" s="29"/>
      <c r="L107" s="29"/>
      <c r="M107" s="29"/>
      <c r="N107" s="29"/>
      <c r="O107" s="29"/>
      <c r="P107" s="29"/>
      <c r="Q107" s="29"/>
      <c r="R107" s="225"/>
    </row>
    <row r="108" spans="1:18" ht="24" thickTop="1" thickBot="1">
      <c r="A108" s="265" t="s">
        <v>236</v>
      </c>
      <c r="B108" s="38"/>
      <c r="C108" s="38" t="s">
        <v>42</v>
      </c>
      <c r="D108" s="38"/>
      <c r="E108" s="38"/>
      <c r="F108" s="29"/>
      <c r="G108" s="29"/>
      <c r="H108" s="35"/>
      <c r="I108" s="1182">
        <f>sysdata!L25</f>
        <v>45</v>
      </c>
      <c r="J108" s="29"/>
      <c r="K108" s="29"/>
      <c r="L108" s="29"/>
      <c r="M108" s="29"/>
      <c r="N108" s="29"/>
      <c r="O108" s="29"/>
      <c r="P108" s="29"/>
      <c r="Q108" s="29"/>
      <c r="R108" s="225"/>
    </row>
    <row r="109" spans="1:18" ht="24" thickTop="1" thickBot="1">
      <c r="A109" s="265" t="s">
        <v>237</v>
      </c>
      <c r="B109" s="38"/>
      <c r="C109" s="38" t="s">
        <v>437</v>
      </c>
      <c r="D109" s="38"/>
      <c r="E109" s="38"/>
      <c r="F109" s="29"/>
      <c r="G109" s="29"/>
      <c r="H109" s="35"/>
      <c r="I109" s="1169">
        <f>+I28/I108</f>
        <v>6.5111111111111111</v>
      </c>
      <c r="J109" s="91"/>
      <c r="K109" s="29"/>
      <c r="L109" s="29"/>
      <c r="M109" s="29"/>
      <c r="N109" s="29"/>
      <c r="O109" s="29"/>
      <c r="P109" s="29"/>
      <c r="Q109" s="29"/>
      <c r="R109" s="225"/>
    </row>
    <row r="110" spans="1:18" ht="24" thickTop="1" thickBot="1">
      <c r="A110" s="265" t="s">
        <v>238</v>
      </c>
      <c r="B110" s="35"/>
      <c r="C110" s="38" t="s">
        <v>439</v>
      </c>
      <c r="D110" s="29"/>
      <c r="E110" s="29"/>
      <c r="F110" s="29"/>
      <c r="G110" s="29"/>
      <c r="H110" s="35"/>
      <c r="I110" s="1166">
        <v>4</v>
      </c>
      <c r="J110" s="46"/>
      <c r="K110" s="29"/>
      <c r="L110" s="29"/>
      <c r="M110" s="29"/>
      <c r="N110" s="29"/>
      <c r="O110" s="29"/>
      <c r="P110" s="29"/>
      <c r="Q110" s="29"/>
      <c r="R110" s="225"/>
    </row>
    <row r="111" spans="1:18" ht="24" thickTop="1" thickBot="1">
      <c r="A111" s="265" t="s">
        <v>239</v>
      </c>
      <c r="B111" s="35"/>
      <c r="C111" s="38" t="s">
        <v>441</v>
      </c>
      <c r="D111" s="29"/>
      <c r="E111" s="29"/>
      <c r="F111" s="29"/>
      <c r="G111" s="29"/>
      <c r="H111" s="35"/>
      <c r="I111" s="1166">
        <v>2</v>
      </c>
      <c r="J111" s="46"/>
      <c r="K111" s="29"/>
      <c r="L111" s="29"/>
      <c r="M111" s="29"/>
      <c r="N111" s="29"/>
      <c r="O111" s="29"/>
      <c r="P111" s="29"/>
      <c r="Q111" s="29"/>
      <c r="R111" s="225"/>
    </row>
    <row r="112" spans="1:18" ht="24" thickTop="1" thickBot="1">
      <c r="A112" s="265" t="s">
        <v>240</v>
      </c>
      <c r="B112" s="35"/>
      <c r="C112" s="38" t="s">
        <v>443</v>
      </c>
      <c r="D112" s="29"/>
      <c r="E112" s="29"/>
      <c r="F112" s="29"/>
      <c r="G112" s="29"/>
      <c r="H112" s="35"/>
      <c r="I112" s="1166">
        <v>3.5</v>
      </c>
      <c r="J112" s="46"/>
      <c r="K112" s="29"/>
      <c r="L112" s="29"/>
      <c r="M112" s="29"/>
      <c r="N112" s="29"/>
      <c r="O112" s="29"/>
      <c r="P112" s="29"/>
      <c r="Q112" s="29"/>
      <c r="R112" s="225"/>
    </row>
    <row r="113" spans="1:18" ht="23.4" thickTop="1">
      <c r="A113" s="265" t="s">
        <v>241</v>
      </c>
      <c r="B113" s="35"/>
      <c r="C113" s="38"/>
      <c r="D113" s="38" t="s">
        <v>444</v>
      </c>
      <c r="E113" s="29"/>
      <c r="F113" s="29"/>
      <c r="G113" s="29"/>
      <c r="H113" s="35"/>
      <c r="I113" s="1168">
        <f>(I109+I110+I111+I112)/24</f>
        <v>0.66712962962962974</v>
      </c>
      <c r="J113" s="29"/>
      <c r="K113" s="29"/>
      <c r="L113" s="29"/>
      <c r="M113" s="29"/>
      <c r="N113" s="29"/>
      <c r="O113" s="29"/>
      <c r="P113" s="29"/>
      <c r="Q113" s="29"/>
      <c r="R113" s="225"/>
    </row>
    <row r="114" spans="1:18" ht="22.8">
      <c r="A114" s="46"/>
      <c r="B114" s="35"/>
      <c r="C114" s="38" t="s">
        <v>419</v>
      </c>
      <c r="D114" s="29"/>
      <c r="E114" s="29"/>
      <c r="F114" s="29"/>
      <c r="G114" s="29"/>
      <c r="H114" s="35"/>
      <c r="I114" s="36"/>
      <c r="J114" s="29"/>
      <c r="K114" s="29"/>
      <c r="L114" s="29"/>
      <c r="M114" s="29"/>
      <c r="N114" s="29"/>
      <c r="O114" s="29"/>
      <c r="P114" s="29"/>
      <c r="Q114" s="29"/>
      <c r="R114" s="225"/>
    </row>
    <row r="115" spans="1:18" ht="22.8">
      <c r="A115" s="264" t="s">
        <v>454</v>
      </c>
      <c r="B115" s="205" t="s">
        <v>125</v>
      </c>
      <c r="C115" s="38"/>
      <c r="D115" s="29"/>
      <c r="E115" s="29"/>
      <c r="F115" s="29"/>
      <c r="G115" s="29"/>
      <c r="H115" s="35"/>
      <c r="I115" s="892">
        <f>+(K97*I109)</f>
        <v>4668.4666666666662</v>
      </c>
      <c r="J115" s="29"/>
      <c r="K115" s="29"/>
      <c r="L115" s="29"/>
      <c r="M115" s="29"/>
      <c r="N115" s="29"/>
      <c r="O115" s="29"/>
      <c r="P115" s="29"/>
      <c r="Q115" s="29"/>
      <c r="R115" s="225"/>
    </row>
    <row r="116" spans="1:18" ht="22.8">
      <c r="A116" s="46"/>
      <c r="B116" s="35"/>
      <c r="C116" s="38"/>
      <c r="D116" s="29"/>
      <c r="E116" s="29"/>
      <c r="F116" s="29"/>
      <c r="G116" s="29"/>
      <c r="H116" s="35"/>
      <c r="I116" s="892"/>
      <c r="J116" s="29"/>
      <c r="K116" s="29"/>
      <c r="L116" s="29"/>
      <c r="M116" s="29"/>
      <c r="N116" s="29"/>
      <c r="O116" s="29"/>
      <c r="P116" s="29"/>
      <c r="Q116" s="29"/>
      <c r="R116" s="225"/>
    </row>
    <row r="117" spans="1:18" ht="22.8">
      <c r="A117" s="265" t="s">
        <v>456</v>
      </c>
      <c r="B117" s="38" t="s">
        <v>174</v>
      </c>
      <c r="C117" s="29"/>
      <c r="D117" s="29"/>
      <c r="E117" s="29"/>
      <c r="F117" s="29"/>
      <c r="G117" s="29"/>
      <c r="H117" s="35"/>
      <c r="I117" s="892">
        <f>(I109+2)</f>
        <v>8.5111111111111111</v>
      </c>
      <c r="J117" s="37"/>
      <c r="K117" s="49"/>
      <c r="L117" s="29"/>
      <c r="M117" s="29"/>
      <c r="N117" s="29"/>
      <c r="O117" s="29"/>
      <c r="P117" s="29"/>
      <c r="Q117" s="29"/>
      <c r="R117" s="225"/>
    </row>
    <row r="118" spans="1:18" ht="22.8">
      <c r="A118" s="46"/>
      <c r="B118" s="29"/>
      <c r="C118" s="29"/>
      <c r="D118" s="29"/>
      <c r="E118" s="29"/>
      <c r="F118" s="29"/>
      <c r="G118" s="29"/>
      <c r="H118" s="35"/>
      <c r="I118" s="892"/>
      <c r="J118" s="29"/>
      <c r="K118" s="29"/>
      <c r="L118" s="29"/>
      <c r="M118" s="29"/>
      <c r="N118" s="29"/>
      <c r="O118" s="29"/>
      <c r="P118" s="29"/>
      <c r="Q118" s="29"/>
      <c r="R118" s="225"/>
    </row>
    <row r="119" spans="1:18" ht="22.8">
      <c r="A119" s="265" t="s">
        <v>457</v>
      </c>
      <c r="B119" s="38" t="s">
        <v>175</v>
      </c>
      <c r="C119" s="29"/>
      <c r="D119" s="29"/>
      <c r="E119" s="29"/>
      <c r="F119" s="29"/>
      <c r="G119" s="29"/>
      <c r="H119" s="35"/>
      <c r="I119" s="892">
        <f>+I73*(I117*K97)</f>
        <v>12204.933333333332</v>
      </c>
      <c r="J119" s="29"/>
      <c r="K119" s="29"/>
      <c r="L119" s="29"/>
      <c r="M119" s="29"/>
      <c r="N119" s="29"/>
      <c r="O119" s="29"/>
      <c r="P119" s="29"/>
      <c r="Q119" s="29"/>
      <c r="R119" s="225"/>
    </row>
    <row r="120" spans="1:18" ht="23.4" thickBot="1">
      <c r="A120" s="46"/>
      <c r="B120" s="29"/>
      <c r="C120" s="29"/>
      <c r="D120" s="29"/>
      <c r="E120" s="29"/>
      <c r="F120" s="29"/>
      <c r="G120" s="29"/>
      <c r="H120" s="35"/>
      <c r="I120" s="892"/>
      <c r="J120" s="29"/>
      <c r="K120" s="29"/>
      <c r="L120" s="29"/>
      <c r="M120" s="29"/>
      <c r="N120" s="29"/>
      <c r="O120" s="29"/>
      <c r="P120" s="29"/>
      <c r="Q120" s="29"/>
      <c r="R120" s="225"/>
    </row>
    <row r="121" spans="1:18" ht="24" thickTop="1" thickBot="1">
      <c r="A121" s="265" t="s">
        <v>458</v>
      </c>
      <c r="B121" s="38" t="s">
        <v>176</v>
      </c>
      <c r="C121" s="29"/>
      <c r="D121" s="29"/>
      <c r="E121" s="29"/>
      <c r="F121" s="29"/>
      <c r="G121" s="29"/>
      <c r="H121" s="35"/>
      <c r="I121" s="1164">
        <f>sysdata!L66</f>
        <v>7776</v>
      </c>
      <c r="J121" s="46"/>
      <c r="K121" s="29" t="s">
        <v>7</v>
      </c>
      <c r="L121" s="29"/>
      <c r="M121" s="29" t="s">
        <v>173</v>
      </c>
      <c r="N121" s="29"/>
      <c r="O121" s="29"/>
      <c r="P121" s="29"/>
      <c r="Q121" s="29"/>
      <c r="R121" s="225"/>
    </row>
    <row r="122" spans="1:18" ht="23.4" thickTop="1">
      <c r="A122" s="46"/>
      <c r="B122" s="29"/>
      <c r="C122" s="29"/>
      <c r="D122" s="29"/>
      <c r="E122" s="29"/>
      <c r="F122" s="29"/>
      <c r="G122" s="29"/>
      <c r="H122" s="35"/>
      <c r="I122" s="1008"/>
      <c r="J122" s="29"/>
      <c r="K122" s="29"/>
      <c r="L122" s="29"/>
      <c r="M122" s="29"/>
      <c r="N122" s="29"/>
      <c r="O122" s="29"/>
      <c r="P122" s="29"/>
      <c r="Q122" s="29"/>
      <c r="R122" s="225"/>
    </row>
    <row r="123" spans="1:18" ht="23.4" thickBot="1">
      <c r="A123" s="265" t="s">
        <v>461</v>
      </c>
      <c r="B123" s="38" t="s">
        <v>177</v>
      </c>
      <c r="C123" s="29"/>
      <c r="D123" s="29"/>
      <c r="E123" s="29"/>
      <c r="F123" s="29"/>
      <c r="G123" s="29"/>
      <c r="H123" s="35"/>
      <c r="I123" s="928">
        <f>I119/I121</f>
        <v>1.5695644718792865</v>
      </c>
      <c r="J123" s="29"/>
      <c r="K123" s="29">
        <f>IF(I123&gt;INT(I123)+0.2,ROUNDUP(I123,0),ROUNDDOWN(I123,0))</f>
        <v>2</v>
      </c>
      <c r="L123" s="29"/>
      <c r="M123" s="29"/>
      <c r="N123" s="29"/>
      <c r="O123" s="29"/>
      <c r="P123" s="29"/>
      <c r="Q123" s="29"/>
      <c r="R123" s="225"/>
    </row>
    <row r="124" spans="1:18" ht="24" thickTop="1" thickBot="1">
      <c r="A124" s="266" t="s">
        <v>555</v>
      </c>
      <c r="B124" s="88" t="s">
        <v>1</v>
      </c>
      <c r="C124" s="29"/>
      <c r="D124" s="29"/>
      <c r="E124" s="29"/>
      <c r="F124" s="29"/>
      <c r="G124" s="1170">
        <v>0.25</v>
      </c>
      <c r="H124" s="35"/>
      <c r="I124" s="928">
        <f>+I123*$G$124</f>
        <v>0.39239111796982162</v>
      </c>
      <c r="J124" s="29"/>
      <c r="K124" s="29">
        <f>IF(I124&gt;INT(I124)+0.2,ROUNDUP(I124,0),ROUNDDOWN(I124,0))</f>
        <v>1</v>
      </c>
      <c r="L124" s="29"/>
      <c r="M124" s="29"/>
      <c r="N124" s="29"/>
      <c r="O124" s="29"/>
      <c r="P124" s="29"/>
      <c r="Q124" s="29"/>
      <c r="R124" s="225"/>
    </row>
    <row r="125" spans="1:18" ht="23.4" thickTop="1">
      <c r="A125" s="266" t="s">
        <v>556</v>
      </c>
      <c r="B125" s="163" t="s">
        <v>3</v>
      </c>
      <c r="C125" s="29"/>
      <c r="D125" s="29"/>
      <c r="E125" s="29"/>
      <c r="F125" s="29"/>
      <c r="G125" s="29"/>
      <c r="H125" s="35"/>
      <c r="I125" s="928">
        <f>SUM(I123:I124)</f>
        <v>1.9619555898491081</v>
      </c>
      <c r="J125" s="29"/>
      <c r="K125" s="29">
        <f>SUM(K123:K124)</f>
        <v>3</v>
      </c>
      <c r="L125" s="29"/>
      <c r="M125" s="29"/>
      <c r="N125" s="29"/>
      <c r="O125" s="29"/>
      <c r="P125" s="29"/>
      <c r="Q125" s="29"/>
      <c r="R125" s="225"/>
    </row>
    <row r="126" spans="1:18" ht="23.4" thickBot="1">
      <c r="A126" s="46"/>
      <c r="B126" s="29"/>
      <c r="C126" s="29"/>
      <c r="D126" s="29"/>
      <c r="E126" s="29"/>
      <c r="F126" s="29"/>
      <c r="G126" s="29"/>
      <c r="H126" s="35"/>
      <c r="I126" s="929"/>
      <c r="J126" s="29"/>
      <c r="K126" s="29"/>
      <c r="L126" s="29"/>
      <c r="M126" s="29"/>
      <c r="N126" s="29"/>
      <c r="O126" s="29"/>
      <c r="P126" s="29"/>
      <c r="Q126" s="29"/>
      <c r="R126" s="225"/>
    </row>
    <row r="127" spans="1:18" ht="24" thickTop="1" thickBot="1">
      <c r="A127" s="264" t="s">
        <v>463</v>
      </c>
      <c r="B127" s="87" t="s">
        <v>179</v>
      </c>
      <c r="C127" s="29"/>
      <c r="D127" s="29"/>
      <c r="E127" s="29"/>
      <c r="F127" s="29"/>
      <c r="G127" s="29"/>
      <c r="H127" s="35"/>
      <c r="I127" s="1171"/>
      <c r="J127" s="29"/>
      <c r="K127" s="29"/>
      <c r="L127" s="29"/>
      <c r="M127" s="29"/>
      <c r="N127" s="29"/>
      <c r="O127" s="29"/>
      <c r="P127" s="29"/>
      <c r="Q127" s="29"/>
      <c r="R127" s="225"/>
    </row>
    <row r="128" spans="1:18" ht="23.4" thickTop="1">
      <c r="A128" s="46"/>
      <c r="B128" s="29"/>
      <c r="C128" s="29"/>
      <c r="D128" s="29"/>
      <c r="E128" s="29"/>
      <c r="F128" s="29"/>
      <c r="G128" s="29"/>
      <c r="H128" s="35"/>
      <c r="I128" s="89"/>
      <c r="J128" s="29"/>
      <c r="K128" s="29"/>
      <c r="L128" s="29"/>
      <c r="M128" s="29"/>
      <c r="N128" s="29"/>
      <c r="O128" s="29"/>
      <c r="P128" s="29"/>
      <c r="Q128" s="29"/>
      <c r="R128" s="225"/>
    </row>
    <row r="129" spans="1:18" ht="22.8">
      <c r="A129" s="265" t="s">
        <v>464</v>
      </c>
      <c r="B129" s="161" t="s">
        <v>43</v>
      </c>
      <c r="C129" s="29"/>
      <c r="D129" s="29"/>
      <c r="E129" s="29"/>
      <c r="F129" s="29"/>
      <c r="G129" s="29"/>
      <c r="H129" s="35"/>
      <c r="I129" s="97">
        <f>+(K97*I61)/(I22/I113)</f>
        <v>53.147993827160505</v>
      </c>
      <c r="J129" s="30"/>
      <c r="K129" s="29">
        <f>IF(I129&gt;INT(I129)+0.2,ROUNDUP(I129,0),ROUNDDOWN(I129,0))</f>
        <v>53</v>
      </c>
      <c r="L129" s="29"/>
      <c r="M129" s="29"/>
      <c r="N129" s="29"/>
      <c r="O129" s="29"/>
      <c r="P129" s="29"/>
      <c r="Q129" s="29"/>
      <c r="R129" s="225"/>
    </row>
    <row r="130" spans="1:18" ht="23.4" thickBot="1">
      <c r="A130" s="46"/>
      <c r="B130" s="29"/>
      <c r="C130" s="29"/>
      <c r="D130" s="29"/>
      <c r="E130" s="29"/>
      <c r="F130" s="29"/>
      <c r="G130" s="29"/>
      <c r="H130" s="35"/>
      <c r="I130" s="36"/>
      <c r="J130" s="29"/>
      <c r="K130" s="29"/>
      <c r="L130" s="29"/>
      <c r="M130" s="29"/>
      <c r="N130" s="29"/>
      <c r="O130" s="29"/>
      <c r="P130" s="29"/>
      <c r="Q130" s="29"/>
      <c r="R130" s="225"/>
    </row>
    <row r="131" spans="1:18" ht="24" thickTop="1" thickBot="1">
      <c r="A131" s="264" t="s">
        <v>242</v>
      </c>
      <c r="B131" s="88" t="s">
        <v>44</v>
      </c>
      <c r="C131" s="29"/>
      <c r="D131" s="29"/>
      <c r="E131" s="29"/>
      <c r="F131" s="30"/>
      <c r="G131" s="1170">
        <v>0.15</v>
      </c>
      <c r="H131" s="35"/>
      <c r="I131" s="36">
        <f>+I129*G131</f>
        <v>7.9721990740740756</v>
      </c>
      <c r="J131" s="29"/>
      <c r="K131" s="29">
        <f>IF(I131&gt;INT(I131)+0.2,ROUNDUP(I131,0),ROUNDDOWN(I131,0))</f>
        <v>8</v>
      </c>
      <c r="L131" s="29"/>
      <c r="M131" s="29"/>
      <c r="N131" s="29"/>
      <c r="O131" s="29"/>
      <c r="P131" s="29"/>
      <c r="Q131" s="29"/>
      <c r="R131" s="225"/>
    </row>
    <row r="132" spans="1:18" ht="23.4" thickTop="1">
      <c r="A132" s="46"/>
      <c r="B132" s="29"/>
      <c r="C132" s="29"/>
      <c r="D132" s="29"/>
      <c r="E132" s="29"/>
      <c r="F132" s="29"/>
      <c r="G132" s="29"/>
      <c r="H132" s="35"/>
      <c r="I132" s="36"/>
      <c r="J132" s="29"/>
      <c r="K132" s="30"/>
      <c r="L132" s="29"/>
      <c r="M132" s="29"/>
      <c r="N132" s="29"/>
      <c r="O132" s="29"/>
      <c r="P132" s="29"/>
      <c r="Q132" s="29"/>
      <c r="R132" s="225"/>
    </row>
    <row r="133" spans="1:18" ht="22.8">
      <c r="A133" s="269" t="s">
        <v>243</v>
      </c>
      <c r="B133" s="163" t="s">
        <v>45</v>
      </c>
      <c r="C133" s="30"/>
      <c r="D133" s="30"/>
      <c r="E133" s="30"/>
      <c r="F133" s="30"/>
      <c r="G133" s="30"/>
      <c r="H133" s="30"/>
      <c r="I133" s="164">
        <f>SUM(I129:I131)</f>
        <v>61.120192901234581</v>
      </c>
      <c r="J133" s="30"/>
      <c r="K133" s="29">
        <f>IF(I133&gt;INT(I133)+0.2,ROUNDUP(I133,0),ROUNDDOWN(I133,0))</f>
        <v>61</v>
      </c>
      <c r="L133" s="29"/>
      <c r="M133" s="29"/>
      <c r="N133" s="29"/>
      <c r="O133" s="29"/>
      <c r="P133" s="29"/>
      <c r="Q133" s="29"/>
      <c r="R133" s="225"/>
    </row>
    <row r="134" spans="1:18" ht="22.8">
      <c r="A134" s="266"/>
      <c r="B134" s="38"/>
      <c r="C134" s="29"/>
      <c r="D134" s="29"/>
      <c r="E134" s="29"/>
      <c r="F134" s="29"/>
      <c r="G134" s="29"/>
      <c r="H134" s="35"/>
      <c r="I134" s="36" t="s">
        <v>350</v>
      </c>
      <c r="J134" s="29"/>
      <c r="K134" s="29"/>
      <c r="L134" s="29"/>
      <c r="M134" s="29"/>
      <c r="N134" s="29"/>
      <c r="O134" s="29"/>
      <c r="P134" s="29"/>
      <c r="Q134" s="29"/>
      <c r="R134" s="225"/>
    </row>
    <row r="135" spans="1:18" ht="22.8">
      <c r="A135" s="265" t="s">
        <v>466</v>
      </c>
      <c r="B135" s="38" t="s">
        <v>78</v>
      </c>
      <c r="C135" s="29"/>
      <c r="D135" s="29"/>
      <c r="E135" s="29"/>
      <c r="F135" s="29"/>
      <c r="G135" s="29"/>
      <c r="H135" s="35"/>
      <c r="I135" s="98">
        <f>+(I28*K97)/1000</f>
        <v>210.08099999999999</v>
      </c>
      <c r="J135" s="29"/>
      <c r="K135" s="29"/>
      <c r="L135" s="29"/>
      <c r="M135" s="29"/>
      <c r="N135" s="29"/>
      <c r="O135" s="29"/>
      <c r="P135" s="29"/>
      <c r="Q135" s="29"/>
      <c r="R135" s="225"/>
    </row>
    <row r="136" spans="1:18" ht="22.8">
      <c r="A136" s="266"/>
      <c r="B136" s="38"/>
      <c r="C136" s="29"/>
      <c r="D136" s="29"/>
      <c r="E136" s="29"/>
      <c r="F136" s="29"/>
      <c r="G136" s="29"/>
      <c r="H136" s="35"/>
      <c r="I136" s="36"/>
      <c r="J136" s="29"/>
      <c r="K136" s="29"/>
      <c r="L136" s="29"/>
      <c r="M136" s="29"/>
      <c r="N136" s="29"/>
      <c r="O136" s="29"/>
      <c r="P136" s="29"/>
      <c r="Q136" s="29"/>
      <c r="R136" s="225"/>
    </row>
    <row r="137" spans="1:18" ht="22.8">
      <c r="A137" s="265" t="s">
        <v>467</v>
      </c>
      <c r="B137" s="38" t="s">
        <v>61</v>
      </c>
      <c r="C137" s="29"/>
      <c r="D137" s="29"/>
      <c r="E137" s="29"/>
      <c r="F137" s="29"/>
      <c r="G137" s="29"/>
      <c r="H137" s="35"/>
      <c r="I137" s="98">
        <f>((I28+2)*I73*K97)/1000</f>
        <v>423.03</v>
      </c>
      <c r="J137" s="29"/>
      <c r="K137" s="29"/>
      <c r="L137" s="29"/>
      <c r="M137" s="29"/>
      <c r="N137" s="29"/>
      <c r="O137" s="29"/>
      <c r="P137" s="29"/>
      <c r="Q137" s="29"/>
      <c r="R137" s="225"/>
    </row>
    <row r="138" spans="1:18" ht="22.8">
      <c r="A138" s="266"/>
      <c r="B138" s="38"/>
      <c r="C138" s="29"/>
      <c r="D138" s="29"/>
      <c r="E138" s="29"/>
      <c r="F138" s="29"/>
      <c r="G138" s="29"/>
      <c r="H138" s="35"/>
      <c r="I138" s="36"/>
      <c r="J138" s="29"/>
      <c r="K138" s="29"/>
      <c r="L138" s="29"/>
      <c r="M138" s="29"/>
      <c r="N138" s="29"/>
      <c r="O138" s="29"/>
      <c r="P138" s="29"/>
      <c r="Q138" s="29"/>
      <c r="R138" s="225"/>
    </row>
    <row r="139" spans="1:18" ht="22.8">
      <c r="A139" s="265" t="s">
        <v>469</v>
      </c>
      <c r="B139" s="38" t="s">
        <v>108</v>
      </c>
      <c r="C139" s="29"/>
      <c r="D139" s="29"/>
      <c r="E139" s="29"/>
      <c r="F139" s="29"/>
      <c r="G139" s="29"/>
      <c r="H139" s="29"/>
      <c r="I139" s="892">
        <f>(I28*I61*K97)/1000</f>
        <v>8403.24</v>
      </c>
      <c r="J139" s="29"/>
      <c r="K139" s="29"/>
      <c r="L139" s="29"/>
      <c r="M139" s="29"/>
      <c r="N139" s="29"/>
      <c r="O139" s="29"/>
      <c r="P139" s="29"/>
      <c r="Q139" s="29"/>
      <c r="R139" s="225"/>
    </row>
    <row r="140" spans="1:18" ht="22.8">
      <c r="A140" s="266"/>
      <c r="B140" s="38"/>
      <c r="C140" s="29"/>
      <c r="D140" s="29"/>
      <c r="E140" s="29"/>
      <c r="F140" s="29"/>
      <c r="G140" s="29"/>
      <c r="H140" s="35"/>
      <c r="I140" s="892"/>
      <c r="J140" s="29"/>
      <c r="K140" s="29"/>
      <c r="L140" s="29"/>
      <c r="M140" s="29"/>
      <c r="N140" s="29"/>
      <c r="O140" s="29"/>
      <c r="P140" s="29"/>
      <c r="Q140" s="29"/>
      <c r="R140" s="225"/>
    </row>
    <row r="141" spans="1:18" ht="22.8">
      <c r="A141" s="265" t="s">
        <v>470</v>
      </c>
      <c r="B141" s="38" t="s">
        <v>62</v>
      </c>
      <c r="C141" s="29"/>
      <c r="D141" s="29"/>
      <c r="E141" s="29"/>
      <c r="F141" s="29"/>
      <c r="G141" s="29"/>
      <c r="H141" s="35"/>
      <c r="I141" s="892">
        <f>+(K97*0.5*I28*I81)/1000+(K97*0.5*I28*I83)/1000</f>
        <v>432145.02023999998</v>
      </c>
      <c r="J141" s="37"/>
      <c r="K141" s="49"/>
      <c r="L141" s="29"/>
      <c r="M141" s="29"/>
      <c r="N141" s="29"/>
      <c r="O141" s="29"/>
      <c r="P141" s="29"/>
      <c r="Q141" s="29"/>
      <c r="R141" s="225"/>
    </row>
    <row r="142" spans="1:18" ht="22.8">
      <c r="A142" s="266"/>
      <c r="B142" s="38"/>
      <c r="C142" s="29"/>
      <c r="D142" s="29"/>
      <c r="E142" s="29"/>
      <c r="F142" s="29"/>
      <c r="G142" s="29"/>
      <c r="H142" s="35"/>
      <c r="I142" s="892"/>
      <c r="J142" s="29"/>
      <c r="K142" s="29"/>
      <c r="L142" s="29"/>
      <c r="M142" s="29"/>
      <c r="N142" s="29"/>
      <c r="O142" s="29"/>
      <c r="P142" s="29"/>
      <c r="Q142" s="29"/>
      <c r="R142" s="225"/>
    </row>
    <row r="143" spans="1:18" ht="22.8">
      <c r="A143" s="265" t="s">
        <v>472</v>
      </c>
      <c r="B143" s="38" t="s">
        <v>65</v>
      </c>
      <c r="C143" s="29"/>
      <c r="D143" s="29"/>
      <c r="E143" s="29"/>
      <c r="F143" s="29"/>
      <c r="G143" s="29"/>
      <c r="H143" s="35" t="s">
        <v>789</v>
      </c>
      <c r="I143" s="892">
        <f>+(K97*0.5*I28*I85)/1000+(K97*0.5*I28*I87)/1000</f>
        <v>495169.32024000003</v>
      </c>
      <c r="J143" s="37"/>
      <c r="K143" s="49"/>
      <c r="L143" s="35"/>
      <c r="M143" s="29"/>
      <c r="N143" s="29"/>
      <c r="O143" s="29"/>
      <c r="P143" s="29"/>
      <c r="Q143" s="29"/>
      <c r="R143" s="225"/>
    </row>
    <row r="144" spans="1:18" ht="23.4" thickBot="1">
      <c r="A144" s="266"/>
      <c r="B144" s="38"/>
      <c r="C144" s="29"/>
      <c r="D144" s="29"/>
      <c r="E144" s="29"/>
      <c r="F144" s="29"/>
      <c r="G144" s="29"/>
      <c r="H144" s="35"/>
      <c r="I144" s="36"/>
      <c r="J144" s="29"/>
      <c r="K144" s="29"/>
      <c r="L144" s="35"/>
      <c r="M144" s="29"/>
      <c r="N144" s="29"/>
      <c r="O144" s="29"/>
      <c r="P144" s="29"/>
      <c r="Q144" s="29"/>
      <c r="R144" s="225"/>
    </row>
    <row r="145" spans="1:18" ht="24" thickTop="1" thickBot="1">
      <c r="A145" s="265" t="s">
        <v>283</v>
      </c>
      <c r="B145" s="38" t="s">
        <v>455</v>
      </c>
      <c r="C145" s="29"/>
      <c r="D145" s="29"/>
      <c r="E145" s="29"/>
      <c r="F145" s="29"/>
      <c r="G145" s="29"/>
      <c r="H145" s="35"/>
      <c r="I145" s="1172">
        <f>sysdata!G66</f>
        <v>3</v>
      </c>
      <c r="J145" s="46"/>
      <c r="K145" s="29"/>
      <c r="L145" s="35"/>
      <c r="M145" s="29"/>
      <c r="N145" s="29"/>
      <c r="O145" s="29"/>
      <c r="P145" s="29"/>
      <c r="Q145" s="29"/>
      <c r="R145" s="225"/>
    </row>
    <row r="146" spans="1:18" ht="24" thickTop="1" thickBot="1">
      <c r="A146" s="265"/>
      <c r="B146" s="38"/>
      <c r="C146" s="29"/>
      <c r="D146" s="29"/>
      <c r="E146" s="29"/>
      <c r="F146" s="29"/>
      <c r="G146" s="29"/>
      <c r="H146" s="35"/>
      <c r="I146" s="914"/>
      <c r="J146" s="91"/>
      <c r="K146" s="29"/>
      <c r="L146" s="35"/>
      <c r="M146" s="29"/>
      <c r="N146" s="29"/>
      <c r="O146" s="29"/>
      <c r="P146" s="29"/>
      <c r="Q146" s="29"/>
      <c r="R146" s="225"/>
    </row>
    <row r="147" spans="1:18" ht="24" thickTop="1" thickBot="1">
      <c r="A147" s="265" t="s">
        <v>284</v>
      </c>
      <c r="B147" s="38" t="s">
        <v>904</v>
      </c>
      <c r="C147" s="29"/>
      <c r="D147" s="29"/>
      <c r="E147" s="29"/>
      <c r="F147" s="29"/>
      <c r="G147" s="29"/>
      <c r="H147" s="35"/>
      <c r="I147" s="1458">
        <f>sysdata!G68</f>
        <v>8</v>
      </c>
      <c r="J147" s="91"/>
      <c r="K147" s="29"/>
      <c r="L147" s="35"/>
      <c r="M147" s="29"/>
      <c r="N147" s="29"/>
      <c r="O147" s="29"/>
      <c r="P147" s="29"/>
      <c r="Q147" s="29"/>
      <c r="R147" s="225"/>
    </row>
    <row r="148" spans="1:18" ht="23.4" thickTop="1">
      <c r="A148" s="266"/>
      <c r="B148" s="38" t="s">
        <v>419</v>
      </c>
      <c r="C148" s="29"/>
      <c r="D148" s="29"/>
      <c r="E148" s="29"/>
      <c r="F148" s="29"/>
      <c r="G148" s="29"/>
      <c r="H148" s="35"/>
      <c r="I148" s="33"/>
      <c r="J148" s="29"/>
      <c r="K148" s="29"/>
      <c r="L148" s="35"/>
      <c r="M148" s="29"/>
      <c r="N148" s="29"/>
      <c r="O148" s="29"/>
      <c r="P148" s="29"/>
      <c r="Q148" s="29"/>
      <c r="R148" s="225"/>
    </row>
    <row r="149" spans="1:18" ht="22.8">
      <c r="A149" s="265" t="s">
        <v>474</v>
      </c>
      <c r="B149" s="38" t="s">
        <v>63</v>
      </c>
      <c r="C149" s="29"/>
      <c r="D149" s="29"/>
      <c r="E149" s="29"/>
      <c r="F149" s="29"/>
      <c r="G149" s="29"/>
      <c r="H149" s="35"/>
      <c r="I149" s="932">
        <f>IF(I71="D",I141*I145,0)</f>
        <v>1296435.06072</v>
      </c>
      <c r="J149" s="29"/>
      <c r="K149" s="29"/>
      <c r="L149" s="35"/>
      <c r="M149" s="29"/>
      <c r="N149" s="29"/>
      <c r="O149" s="29"/>
      <c r="P149" s="29"/>
      <c r="Q149" s="29"/>
      <c r="R149" s="225"/>
    </row>
    <row r="150" spans="1:18" ht="22.8">
      <c r="A150" s="265"/>
      <c r="B150" s="38"/>
      <c r="C150" s="29"/>
      <c r="D150" s="29"/>
      <c r="E150" s="29"/>
      <c r="F150" s="29"/>
      <c r="G150" s="29"/>
      <c r="H150" s="35"/>
      <c r="I150" s="932"/>
      <c r="J150" s="29"/>
      <c r="K150" s="29"/>
      <c r="L150" s="35"/>
      <c r="M150" s="29"/>
      <c r="N150" s="29"/>
      <c r="O150" s="29"/>
      <c r="P150" s="29"/>
      <c r="Q150" s="29"/>
      <c r="R150" s="225"/>
    </row>
    <row r="151" spans="1:18" ht="22.8">
      <c r="A151" s="265" t="s">
        <v>903</v>
      </c>
      <c r="B151" s="38" t="s">
        <v>897</v>
      </c>
      <c r="C151" s="29"/>
      <c r="D151" s="29"/>
      <c r="E151" s="29"/>
      <c r="F151" s="29"/>
      <c r="G151" s="29"/>
      <c r="H151" s="35"/>
      <c r="I151" s="932">
        <f>IF(I71="E", I141*I147,0)</f>
        <v>0</v>
      </c>
      <c r="J151" s="29"/>
      <c r="K151" s="29"/>
      <c r="L151" s="35"/>
      <c r="M151" s="29"/>
      <c r="N151" s="29"/>
      <c r="O151" s="29"/>
      <c r="P151" s="29"/>
      <c r="Q151" s="29"/>
      <c r="R151" s="225"/>
    </row>
    <row r="152" spans="1:18" ht="22.8">
      <c r="A152" s="265"/>
      <c r="B152" s="38"/>
      <c r="C152" s="29"/>
      <c r="D152" s="29"/>
      <c r="E152" s="29"/>
      <c r="F152" s="29"/>
      <c r="G152" s="29"/>
      <c r="H152" s="35"/>
      <c r="I152" s="932"/>
      <c r="J152" s="29"/>
      <c r="K152" s="29"/>
      <c r="L152" s="35"/>
      <c r="M152" s="29"/>
      <c r="N152" s="29"/>
      <c r="O152" s="29"/>
      <c r="P152" s="29"/>
      <c r="Q152" s="29"/>
      <c r="R152" s="225"/>
    </row>
    <row r="153" spans="1:18" ht="22.8">
      <c r="A153" s="266"/>
      <c r="B153" s="38"/>
      <c r="C153" s="29"/>
      <c r="D153" s="29"/>
      <c r="E153" s="29"/>
      <c r="F153" s="29"/>
      <c r="G153" s="29"/>
      <c r="H153" s="35"/>
      <c r="I153" s="169"/>
      <c r="J153" s="29"/>
      <c r="K153" s="29"/>
      <c r="L153" s="35"/>
      <c r="M153" s="29"/>
      <c r="N153" s="29"/>
      <c r="O153" s="29"/>
      <c r="P153" s="29"/>
      <c r="Q153" s="29"/>
      <c r="R153" s="225"/>
    </row>
    <row r="154" spans="1:18" ht="22.8">
      <c r="A154" s="265" t="s">
        <v>476</v>
      </c>
      <c r="B154" s="161" t="s">
        <v>273</v>
      </c>
      <c r="C154" s="29"/>
      <c r="D154" s="29"/>
      <c r="E154" s="29"/>
      <c r="F154" s="29"/>
      <c r="G154" s="29"/>
      <c r="H154" s="35"/>
      <c r="I154" s="169"/>
      <c r="J154" s="29"/>
      <c r="K154" s="29"/>
      <c r="L154" s="35"/>
      <c r="M154" s="29"/>
      <c r="N154" s="29"/>
      <c r="O154" s="29"/>
      <c r="P154" s="29"/>
      <c r="Q154" s="29"/>
      <c r="R154" s="225"/>
    </row>
    <row r="155" spans="1:18" ht="22.8">
      <c r="A155" s="266"/>
      <c r="B155" s="38"/>
      <c r="C155" s="29"/>
      <c r="D155" s="29"/>
      <c r="E155" s="29"/>
      <c r="F155" s="29"/>
      <c r="G155" s="29"/>
      <c r="H155" s="35"/>
      <c r="I155" s="169"/>
      <c r="J155" s="29"/>
      <c r="K155" s="29"/>
      <c r="L155" s="35"/>
      <c r="M155" s="29"/>
      <c r="N155" s="29"/>
      <c r="O155" s="29"/>
      <c r="P155" s="29"/>
      <c r="Q155" s="29"/>
      <c r="R155" s="225"/>
    </row>
    <row r="156" spans="1:18" ht="22.8">
      <c r="A156" s="266" t="s">
        <v>298</v>
      </c>
      <c r="B156" s="38" t="s">
        <v>678</v>
      </c>
      <c r="C156" s="29"/>
      <c r="D156" s="29"/>
      <c r="E156" s="29"/>
      <c r="F156" s="29"/>
      <c r="G156" s="29"/>
      <c r="H156" s="35"/>
      <c r="I156" s="932">
        <f>sysdata!F25-sysdata!F24</f>
        <v>475.80000000000007</v>
      </c>
      <c r="J156" s="29"/>
      <c r="K156" s="29"/>
      <c r="L156" s="35"/>
      <c r="M156" s="29"/>
      <c r="N156" s="29"/>
      <c r="O156" s="29"/>
      <c r="P156" s="29"/>
      <c r="Q156" s="29"/>
      <c r="R156" s="225"/>
    </row>
    <row r="157" spans="1:18" ht="23.4" thickBot="1">
      <c r="A157" s="266"/>
      <c r="B157" s="38"/>
      <c r="C157" s="29"/>
      <c r="D157" s="29"/>
      <c r="E157" s="29"/>
      <c r="F157" s="29"/>
      <c r="G157" s="29"/>
      <c r="H157" s="35"/>
      <c r="I157" s="169"/>
      <c r="J157" s="29"/>
      <c r="K157" s="29"/>
      <c r="L157" s="35"/>
      <c r="M157" s="29"/>
      <c r="N157" s="29"/>
      <c r="O157" s="29"/>
      <c r="P157" s="29"/>
      <c r="Q157" s="29"/>
      <c r="R157" s="225"/>
    </row>
    <row r="158" spans="1:18" ht="24" thickTop="1" thickBot="1">
      <c r="A158" s="265" t="s">
        <v>299</v>
      </c>
      <c r="B158" s="38" t="s">
        <v>85</v>
      </c>
      <c r="C158" s="29"/>
      <c r="D158" s="29"/>
      <c r="E158" s="29"/>
      <c r="F158" s="29"/>
      <c r="G158" s="29"/>
      <c r="H158" s="35"/>
      <c r="I158" s="1173">
        <f>sysdata!E25/(sysdata!C177+sysdata!C178)</f>
        <v>117.5</v>
      </c>
      <c r="J158" s="29"/>
      <c r="K158" s="29"/>
      <c r="L158" s="35"/>
      <c r="M158" s="29"/>
      <c r="N158" s="29"/>
      <c r="O158" s="29"/>
      <c r="P158" s="29"/>
      <c r="Q158" s="29"/>
      <c r="R158" s="225"/>
    </row>
    <row r="159" spans="1:18" ht="23.4" thickTop="1">
      <c r="A159" s="266"/>
      <c r="B159" s="38"/>
      <c r="C159" s="29"/>
      <c r="D159" s="29"/>
      <c r="E159" s="29"/>
      <c r="F159" s="29"/>
      <c r="G159" s="29"/>
      <c r="H159" s="35"/>
      <c r="I159" s="169"/>
      <c r="J159" s="29"/>
      <c r="K159" s="29"/>
      <c r="L159" s="35"/>
      <c r="M159" s="29"/>
      <c r="N159" s="29"/>
      <c r="O159" s="29"/>
      <c r="P159" s="29"/>
      <c r="Q159" s="29"/>
      <c r="R159" s="225"/>
    </row>
    <row r="160" spans="1:18" ht="22.8">
      <c r="A160" s="265" t="s">
        <v>300</v>
      </c>
      <c r="B160" s="38" t="s">
        <v>86</v>
      </c>
      <c r="C160" s="29"/>
      <c r="D160" s="29"/>
      <c r="E160" s="29"/>
      <c r="F160" s="29"/>
      <c r="G160" s="29"/>
      <c r="H160" s="35"/>
      <c r="I160" s="169">
        <f>sysdata!E25/I158</f>
        <v>4</v>
      </c>
      <c r="J160" s="29"/>
      <c r="K160" s="29"/>
      <c r="L160" s="35"/>
      <c r="M160" s="29"/>
      <c r="N160" s="29"/>
      <c r="O160" s="29"/>
      <c r="P160" s="29"/>
      <c r="Q160" s="29"/>
      <c r="R160" s="225"/>
    </row>
    <row r="161" spans="1:18" ht="23.4" thickBot="1">
      <c r="A161" s="266"/>
      <c r="B161" s="38"/>
      <c r="C161" s="29"/>
      <c r="D161" s="29"/>
      <c r="E161" s="29"/>
      <c r="F161" s="29"/>
      <c r="G161" s="29"/>
      <c r="H161" s="35"/>
      <c r="I161" s="169"/>
      <c r="J161" s="29"/>
      <c r="K161" s="29"/>
      <c r="L161" s="35"/>
      <c r="M161" s="29"/>
      <c r="N161" s="29"/>
      <c r="O161" s="29"/>
      <c r="P161" s="29"/>
      <c r="Q161" s="29"/>
      <c r="R161" s="225"/>
    </row>
    <row r="162" spans="1:18" ht="24" thickTop="1" thickBot="1">
      <c r="A162" s="265" t="s">
        <v>302</v>
      </c>
      <c r="B162" s="38" t="s">
        <v>301</v>
      </c>
      <c r="C162" s="29"/>
      <c r="D162" s="29"/>
      <c r="E162" s="29"/>
      <c r="F162" s="29"/>
      <c r="G162" s="29"/>
      <c r="H162" s="35"/>
      <c r="I162" s="1174">
        <f>M97</f>
        <v>9.2171230235248744E-2</v>
      </c>
      <c r="J162" s="29"/>
      <c r="K162" s="29"/>
      <c r="L162" s="35"/>
      <c r="M162" s="29"/>
      <c r="N162" s="29"/>
      <c r="O162" s="29"/>
      <c r="P162" s="29"/>
      <c r="Q162" s="29"/>
      <c r="R162" s="225"/>
    </row>
    <row r="163" spans="1:18" ht="23.4" thickTop="1">
      <c r="A163" s="266"/>
      <c r="B163" s="38"/>
      <c r="C163" s="29"/>
      <c r="D163" s="29"/>
      <c r="E163" s="29"/>
      <c r="F163" s="29"/>
      <c r="G163" s="29"/>
      <c r="H163" s="35"/>
      <c r="I163" s="169"/>
      <c r="J163" s="29"/>
      <c r="K163" s="29"/>
      <c r="L163" s="35"/>
      <c r="M163" s="29"/>
      <c r="N163" s="29"/>
      <c r="O163" s="29"/>
      <c r="P163" s="29"/>
      <c r="Q163" s="29"/>
      <c r="R163" s="225"/>
    </row>
    <row r="164" spans="1:18" ht="30">
      <c r="A164" s="265" t="s">
        <v>303</v>
      </c>
      <c r="B164" s="38" t="s">
        <v>91</v>
      </c>
      <c r="C164" s="29"/>
      <c r="D164" s="29"/>
      <c r="E164" s="29"/>
      <c r="F164" s="29"/>
      <c r="G164" s="29"/>
      <c r="H164" s="35"/>
      <c r="I164" s="1175" t="str">
        <f>IF(K101&gt;10000,"DOUBLE!","SINGLE!")</f>
        <v>SINGLE!</v>
      </c>
      <c r="J164" s="29"/>
      <c r="K164" s="29"/>
      <c r="L164" s="35"/>
      <c r="M164" s="29"/>
      <c r="N164" s="29"/>
      <c r="O164" s="29"/>
      <c r="P164" s="29"/>
      <c r="Q164" s="29"/>
      <c r="R164" s="225"/>
    </row>
    <row r="165" spans="1:18" ht="30.6" thickBot="1">
      <c r="A165" s="265"/>
      <c r="B165" s="38"/>
      <c r="C165" s="29"/>
      <c r="D165" s="29"/>
      <c r="E165" s="29"/>
      <c r="F165" s="29"/>
      <c r="G165" s="29"/>
      <c r="H165" s="35"/>
      <c r="I165" s="184"/>
      <c r="J165" s="29"/>
      <c r="K165" s="29"/>
      <c r="L165" s="35"/>
      <c r="M165" s="29"/>
      <c r="N165" s="29"/>
      <c r="O165" s="29"/>
      <c r="P165" s="29"/>
      <c r="Q165" s="29"/>
      <c r="R165" s="225"/>
    </row>
    <row r="166" spans="1:18" ht="24" thickTop="1" thickBot="1">
      <c r="A166" s="265" t="s">
        <v>787</v>
      </c>
      <c r="B166" s="38" t="s">
        <v>270</v>
      </c>
      <c r="C166" s="29"/>
      <c r="D166" s="29"/>
      <c r="E166" s="29"/>
      <c r="F166" s="29"/>
      <c r="G166" s="29"/>
      <c r="H166" s="35"/>
      <c r="I166" s="1174">
        <f>M97</f>
        <v>9.2171230235248744E-2</v>
      </c>
      <c r="J166" s="29"/>
      <c r="K166" s="29"/>
      <c r="L166" s="35"/>
      <c r="M166" s="29"/>
      <c r="N166" s="29"/>
      <c r="O166" s="29"/>
      <c r="P166" s="29"/>
      <c r="Q166" s="29"/>
      <c r="R166" s="225"/>
    </row>
    <row r="167" spans="1:18" ht="23.4" thickTop="1">
      <c r="A167" s="265"/>
      <c r="B167" s="38"/>
      <c r="C167" s="29"/>
      <c r="D167" s="29"/>
      <c r="E167" s="29"/>
      <c r="F167" s="29"/>
      <c r="G167" s="29"/>
      <c r="H167" s="35"/>
      <c r="I167" s="342"/>
      <c r="J167" s="29"/>
      <c r="K167" s="29"/>
      <c r="L167" s="35"/>
      <c r="M167" s="29"/>
      <c r="N167" s="29"/>
      <c r="O167" s="29"/>
      <c r="P167" s="29"/>
      <c r="Q167" s="29"/>
      <c r="R167" s="225"/>
    </row>
    <row r="168" spans="1:18" ht="23.4" thickBot="1">
      <c r="A168" s="266"/>
      <c r="B168" s="38"/>
      <c r="C168" s="29"/>
      <c r="D168" s="29"/>
      <c r="E168" s="29"/>
      <c r="F168" s="29"/>
      <c r="G168" s="29"/>
      <c r="H168" s="35"/>
      <c r="I168" s="169"/>
      <c r="J168" s="29"/>
      <c r="K168" s="29"/>
      <c r="L168" s="35"/>
      <c r="M168" s="29"/>
      <c r="N168" s="29"/>
      <c r="O168" s="29"/>
      <c r="P168" s="29"/>
      <c r="Q168" s="29"/>
      <c r="R168" s="225"/>
    </row>
    <row r="169" spans="1:18" ht="24" thickTop="1" thickBot="1">
      <c r="A169" s="1153" t="str">
        <f>+A3</f>
        <v>RAILWAY BULK FREIGHT TRAFFIC COSTING SUB-MODEL</v>
      </c>
      <c r="B169" s="1154"/>
      <c r="C169" s="1154"/>
      <c r="D169" s="1154"/>
      <c r="E169" s="1154"/>
      <c r="F169" s="1154"/>
      <c r="G169" s="1154"/>
      <c r="H169" s="1154"/>
      <c r="I169" s="1155"/>
      <c r="J169" s="1156"/>
      <c r="K169" s="1157"/>
      <c r="L169" s="1157"/>
      <c r="M169" s="1157"/>
      <c r="N169" s="1157"/>
      <c r="O169" s="1157"/>
      <c r="P169" s="1157"/>
      <c r="Q169" s="1157"/>
      <c r="R169" s="1158"/>
    </row>
    <row r="170" spans="1:18" ht="15.6" thickTop="1">
      <c r="A170" s="26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25"/>
    </row>
    <row r="171" spans="1:18" ht="22.8">
      <c r="A171" s="263" t="s">
        <v>459</v>
      </c>
      <c r="B171" s="34" t="s">
        <v>79</v>
      </c>
      <c r="C171" s="29"/>
      <c r="D171" s="29"/>
      <c r="E171" s="29"/>
      <c r="F171" s="29"/>
      <c r="G171" s="29"/>
      <c r="H171" s="29"/>
      <c r="I171" s="36"/>
      <c r="J171" s="29"/>
      <c r="K171" s="29"/>
      <c r="L171" s="29"/>
      <c r="M171" s="29"/>
      <c r="N171" s="29"/>
      <c r="O171" s="29"/>
      <c r="P171" s="29"/>
      <c r="Q171" s="29"/>
      <c r="R171" s="225"/>
    </row>
    <row r="172" spans="1:18" ht="23.4" thickBot="1">
      <c r="A172" s="263"/>
      <c r="B172" s="45"/>
      <c r="C172" s="29"/>
      <c r="D172" s="29"/>
      <c r="E172" s="29"/>
      <c r="F172" s="29"/>
      <c r="G172" s="29"/>
      <c r="H172" s="29"/>
      <c r="I172" s="36"/>
      <c r="J172" s="29"/>
      <c r="K172" s="29"/>
      <c r="L172" s="29"/>
      <c r="M172" s="29"/>
      <c r="N172" s="29"/>
      <c r="O172" s="29"/>
      <c r="P172" s="29"/>
      <c r="Q172" s="29"/>
      <c r="R172" s="225"/>
    </row>
    <row r="173" spans="1:18" ht="24" thickTop="1" thickBot="1">
      <c r="A173" s="263"/>
      <c r="B173" s="50"/>
      <c r="C173" s="37" t="s">
        <v>460</v>
      </c>
      <c r="D173" s="29"/>
      <c r="E173" s="29"/>
      <c r="F173" s="29"/>
      <c r="G173" s="29"/>
      <c r="H173" s="29"/>
      <c r="I173" s="1166" t="s">
        <v>660</v>
      </c>
      <c r="J173" s="46"/>
      <c r="K173" s="29"/>
      <c r="L173" s="29"/>
      <c r="M173" s="165"/>
      <c r="N173" s="29"/>
      <c r="O173" s="29"/>
      <c r="P173" s="29"/>
      <c r="Q173" s="29"/>
      <c r="R173" s="225"/>
    </row>
    <row r="174" spans="1:18" ht="23.4" thickTop="1">
      <c r="A174" s="46"/>
      <c r="B174" s="29"/>
      <c r="C174" s="29"/>
      <c r="D174" s="29"/>
      <c r="E174" s="29"/>
      <c r="F174" s="29"/>
      <c r="G174" s="29"/>
      <c r="H174" s="29"/>
      <c r="I174" s="33"/>
      <c r="J174" s="29"/>
      <c r="K174" s="29"/>
      <c r="L174" s="29"/>
      <c r="M174" s="89"/>
      <c r="N174" s="29"/>
      <c r="O174" s="29"/>
      <c r="P174" s="29"/>
      <c r="Q174" s="29"/>
      <c r="R174" s="225"/>
    </row>
    <row r="175" spans="1:18" ht="22.8">
      <c r="A175" s="46"/>
      <c r="B175" s="29"/>
      <c r="C175" s="29"/>
      <c r="D175" s="29"/>
      <c r="E175" s="29"/>
      <c r="F175" s="29"/>
      <c r="G175" s="29"/>
      <c r="H175" s="29"/>
      <c r="I175" s="89"/>
      <c r="J175" s="29"/>
      <c r="K175" s="29"/>
      <c r="L175" s="29"/>
      <c r="M175" s="89"/>
      <c r="N175" s="29"/>
      <c r="O175" s="29"/>
      <c r="P175" s="29"/>
      <c r="Q175" s="29"/>
      <c r="R175" s="225"/>
    </row>
    <row r="176" spans="1:18" ht="22.8">
      <c r="A176" s="46"/>
      <c r="B176" s="29"/>
      <c r="C176" s="29"/>
      <c r="D176" s="29"/>
      <c r="E176" s="29"/>
      <c r="F176" s="29"/>
      <c r="G176" s="29"/>
      <c r="H176" s="29"/>
      <c r="I176" s="171" t="s">
        <v>80</v>
      </c>
      <c r="J176" s="172" t="s">
        <v>82</v>
      </c>
      <c r="K176" s="29"/>
      <c r="L176" s="29"/>
      <c r="M176" s="171" t="s">
        <v>81</v>
      </c>
      <c r="N176" s="29"/>
      <c r="O176" s="29"/>
      <c r="P176" s="29"/>
      <c r="Q176" s="29"/>
      <c r="R176" s="225"/>
    </row>
    <row r="177" spans="1:18" ht="22.8">
      <c r="A177" s="46"/>
      <c r="B177" s="29"/>
      <c r="C177" s="29"/>
      <c r="D177" s="29"/>
      <c r="E177" s="29"/>
      <c r="F177" s="29"/>
      <c r="G177" s="29"/>
      <c r="H177" s="29"/>
      <c r="I177" s="89"/>
      <c r="J177" s="173" t="s">
        <v>83</v>
      </c>
      <c r="K177" s="29"/>
      <c r="L177" s="29"/>
      <c r="M177" s="89"/>
      <c r="N177" s="29"/>
      <c r="O177" s="29"/>
      <c r="P177" s="29"/>
      <c r="Q177" s="29"/>
      <c r="R177" s="225"/>
    </row>
    <row r="178" spans="1:18" ht="22.8">
      <c r="A178" s="270" t="s">
        <v>526</v>
      </c>
      <c r="B178" s="88" t="s">
        <v>530</v>
      </c>
      <c r="C178" s="88"/>
      <c r="D178" s="88"/>
      <c r="E178" s="88"/>
      <c r="F178" s="88"/>
      <c r="G178" s="29"/>
      <c r="H178" s="29"/>
      <c r="I178" s="36"/>
      <c r="J178" s="29"/>
      <c r="K178" s="29"/>
      <c r="L178" s="29"/>
      <c r="M178" s="36"/>
      <c r="N178" s="29"/>
      <c r="O178" s="776" t="s">
        <v>348</v>
      </c>
      <c r="P178" s="29"/>
      <c r="Q178" s="29"/>
      <c r="R178" s="225"/>
    </row>
    <row r="179" spans="1:18" ht="23.4" thickBot="1">
      <c r="A179" s="271"/>
      <c r="B179" s="88"/>
      <c r="C179" s="88"/>
      <c r="D179" s="88"/>
      <c r="E179" s="88"/>
      <c r="F179" s="88"/>
      <c r="G179" s="29"/>
      <c r="H179" s="29"/>
      <c r="I179" s="36"/>
      <c r="J179" s="29"/>
      <c r="K179" s="29"/>
      <c r="L179" s="29"/>
      <c r="M179" s="36"/>
      <c r="N179" s="29"/>
      <c r="O179" s="29"/>
      <c r="P179" s="29"/>
      <c r="Q179" s="29"/>
      <c r="R179" s="225"/>
    </row>
    <row r="180" spans="1:18" ht="24" thickTop="1" thickBot="1">
      <c r="A180" s="265" t="s">
        <v>480</v>
      </c>
      <c r="B180" s="38" t="s">
        <v>462</v>
      </c>
      <c r="C180" s="29"/>
      <c r="D180" s="29"/>
      <c r="E180" s="29"/>
      <c r="F180" s="29"/>
      <c r="G180" s="29"/>
      <c r="H180" s="29"/>
      <c r="I180" s="1165">
        <f>sysdata!C153</f>
        <v>58.049535603715164</v>
      </c>
      <c r="J180" s="46"/>
      <c r="K180" s="1176">
        <f>passengers!K187</f>
        <v>0.87227414330218067</v>
      </c>
      <c r="L180" s="29"/>
      <c r="M180" s="179">
        <f>+I180*K180</f>
        <v>50.635108937820078</v>
      </c>
      <c r="N180" s="29"/>
      <c r="O180" s="1001" t="s">
        <v>715</v>
      </c>
      <c r="P180" s="29"/>
      <c r="Q180" s="29"/>
      <c r="R180" s="225"/>
    </row>
    <row r="181" spans="1:18" ht="24" thickTop="1" thickBot="1">
      <c r="A181" s="46"/>
      <c r="B181" s="29"/>
      <c r="C181" s="29"/>
      <c r="D181" s="29"/>
      <c r="E181" s="29"/>
      <c r="F181" s="29"/>
      <c r="G181" s="29"/>
      <c r="H181" s="29"/>
      <c r="I181" s="33"/>
      <c r="J181" s="29"/>
      <c r="K181" s="29"/>
      <c r="L181" s="29"/>
      <c r="M181" s="89"/>
      <c r="N181" s="29"/>
      <c r="O181" s="1001" t="s">
        <v>716</v>
      </c>
      <c r="P181" s="29"/>
      <c r="Q181" s="29"/>
      <c r="R181" s="225"/>
    </row>
    <row r="182" spans="1:18" ht="24" thickTop="1" thickBot="1">
      <c r="A182" s="265" t="s">
        <v>481</v>
      </c>
      <c r="B182" s="38" t="s">
        <v>465</v>
      </c>
      <c r="C182" s="35"/>
      <c r="D182" s="35"/>
      <c r="E182" s="35"/>
      <c r="F182" s="29"/>
      <c r="G182" s="29"/>
      <c r="H182" s="29"/>
      <c r="I182" s="1177">
        <f>sysdata!C169</f>
        <v>0.97911227154046998</v>
      </c>
      <c r="J182" s="46"/>
      <c r="K182" s="1176">
        <f>passengers!K189</f>
        <v>0.85</v>
      </c>
      <c r="L182" s="29"/>
      <c r="M182" s="174">
        <f>+I182*K182</f>
        <v>0.8322454308093995</v>
      </c>
      <c r="N182" s="29"/>
      <c r="O182" s="1001" t="str">
        <f>passengers!O189</f>
        <v>No fuel subsidy assumed. Therefore, SPF is retail price less taxes (assumed to be 15%).</v>
      </c>
      <c r="P182" s="29"/>
      <c r="Q182" s="29"/>
      <c r="R182" s="225"/>
    </row>
    <row r="183" spans="1:18" ht="24" thickTop="1" thickBot="1">
      <c r="A183" s="265"/>
      <c r="B183" s="38"/>
      <c r="C183" s="35"/>
      <c r="D183" s="35"/>
      <c r="E183" s="35"/>
      <c r="F183" s="29"/>
      <c r="G183" s="29"/>
      <c r="H183" s="29"/>
      <c r="I183" s="181"/>
      <c r="J183" s="91"/>
      <c r="K183" s="464"/>
      <c r="L183" s="29"/>
      <c r="M183" s="174"/>
      <c r="N183" s="29"/>
      <c r="O183" s="1001"/>
      <c r="P183" s="29"/>
      <c r="Q183" s="29"/>
      <c r="R183" s="225"/>
    </row>
    <row r="184" spans="1:18" ht="24" thickTop="1" thickBot="1">
      <c r="A184" s="265" t="s">
        <v>688</v>
      </c>
      <c r="B184" s="38" t="s">
        <v>891</v>
      </c>
      <c r="C184" s="35"/>
      <c r="D184" s="35"/>
      <c r="E184" s="35"/>
      <c r="F184" s="29"/>
      <c r="G184" s="29"/>
      <c r="H184" s="29"/>
      <c r="I184" s="1459">
        <f>sysdata!C170</f>
        <v>7.0000000000000007E-2</v>
      </c>
      <c r="J184" s="91"/>
      <c r="K184" s="1176">
        <f>passengers!K189</f>
        <v>0.85</v>
      </c>
      <c r="L184" s="29"/>
      <c r="M184" s="174">
        <f>+I184*K184</f>
        <v>5.9500000000000004E-2</v>
      </c>
      <c r="N184" s="29"/>
      <c r="O184" s="1001" t="str">
        <f>passengers!O193</f>
        <v xml:space="preserve">Note: 80% assumed to comprise spare parts, attracting 15% import duty and 10% VAT, while balance (20%) </v>
      </c>
      <c r="P184" s="29"/>
      <c r="Q184" s="29"/>
      <c r="R184" s="225"/>
    </row>
    <row r="185" spans="1:18" ht="24" thickTop="1" thickBot="1">
      <c r="A185" s="46"/>
      <c r="B185" s="29"/>
      <c r="C185" s="29"/>
      <c r="D185" s="29"/>
      <c r="E185" s="29"/>
      <c r="F185" s="29"/>
      <c r="G185" s="29"/>
      <c r="H185" s="29"/>
      <c r="I185" s="33"/>
      <c r="J185" s="29"/>
      <c r="K185" s="29"/>
      <c r="L185" s="29"/>
      <c r="M185" s="89"/>
      <c r="N185" s="29"/>
      <c r="O185" s="29"/>
      <c r="P185" s="29"/>
      <c r="Q185" s="29"/>
      <c r="R185" s="225"/>
    </row>
    <row r="186" spans="1:18" ht="24" thickTop="1" thickBot="1">
      <c r="A186" s="265" t="s">
        <v>482</v>
      </c>
      <c r="B186" s="38" t="s">
        <v>468</v>
      </c>
      <c r="C186" s="29"/>
      <c r="D186" s="29"/>
      <c r="E186" s="29"/>
      <c r="F186" s="29"/>
      <c r="G186" s="29"/>
      <c r="H186" s="29"/>
      <c r="I186" s="1177">
        <f>sysdata!J66</f>
        <v>1.1427777777777779</v>
      </c>
      <c r="J186" s="46"/>
      <c r="K186" s="1176">
        <f>passengers!K193</f>
        <v>0.81200000000000017</v>
      </c>
      <c r="L186" s="29"/>
      <c r="M186" s="174">
        <f>+I186*K186</f>
        <v>0.92793555555555585</v>
      </c>
      <c r="N186" s="29"/>
      <c r="O186" s="1001" t="str">
        <f>passengers!O193</f>
        <v xml:space="preserve">Note: 80% assumed to comprise spare parts, attracting 15% import duty and 10% VAT, while balance (20%) </v>
      </c>
      <c r="P186" s="29"/>
      <c r="Q186" s="29"/>
      <c r="R186" s="225"/>
    </row>
    <row r="187" spans="1:18" ht="24" thickTop="1" thickBot="1">
      <c r="A187" s="46"/>
      <c r="B187" s="29"/>
      <c r="C187" s="29"/>
      <c r="D187" s="29"/>
      <c r="E187" s="29"/>
      <c r="F187" s="29"/>
      <c r="G187" s="29"/>
      <c r="H187" s="29"/>
      <c r="I187" s="33"/>
      <c r="J187" s="29"/>
      <c r="K187" s="176"/>
      <c r="L187" s="29"/>
      <c r="M187" s="177"/>
      <c r="N187" s="29"/>
      <c r="O187" s="1001" t="str">
        <f>passengers!O194</f>
        <v>attracts only VAT of 10%</v>
      </c>
      <c r="P187" s="29"/>
      <c r="Q187" s="29"/>
      <c r="R187" s="225"/>
    </row>
    <row r="188" spans="1:18" ht="24" thickTop="1" thickBot="1">
      <c r="A188" s="265" t="s">
        <v>483</v>
      </c>
      <c r="B188" s="38" t="s">
        <v>77</v>
      </c>
      <c r="C188" s="29"/>
      <c r="D188" s="29"/>
      <c r="E188" s="29"/>
      <c r="F188" s="29"/>
      <c r="G188" s="29"/>
      <c r="H188" s="29"/>
      <c r="I188" s="1177">
        <f>sysdata!J103</f>
        <v>0.13530927835051548</v>
      </c>
      <c r="J188" s="46"/>
      <c r="K188" s="1176">
        <f>containers!K202</f>
        <v>0.84499999999999997</v>
      </c>
      <c r="L188" s="29"/>
      <c r="M188" s="174">
        <f>+I188*K188</f>
        <v>0.11433634020618558</v>
      </c>
      <c r="N188" s="29"/>
      <c r="O188" s="1001" t="str">
        <f>containers!O202</f>
        <v>Note: 50% assumed to comprise spare parts, attracting 15% import duty and VAT of 10%;</v>
      </c>
      <c r="P188" s="29"/>
      <c r="Q188" s="29"/>
      <c r="R188" s="225"/>
    </row>
    <row r="189" spans="1:18" ht="24" thickTop="1" thickBot="1">
      <c r="A189" s="46"/>
      <c r="B189" s="29"/>
      <c r="C189" s="29"/>
      <c r="D189" s="29"/>
      <c r="E189" s="29"/>
      <c r="F189" s="29"/>
      <c r="G189" s="29"/>
      <c r="H189" s="29"/>
      <c r="I189" s="33"/>
      <c r="J189" s="29"/>
      <c r="K189" s="176"/>
      <c r="L189" s="29"/>
      <c r="M189" s="177"/>
      <c r="N189" s="29"/>
      <c r="O189" s="1001" t="str">
        <f>containers!O203</f>
        <v>remaining 50% attracts only VAT</v>
      </c>
      <c r="P189" s="29"/>
      <c r="Q189" s="29"/>
      <c r="R189" s="225"/>
    </row>
    <row r="190" spans="1:18" ht="24" thickTop="1" thickBot="1">
      <c r="A190" s="265" t="s">
        <v>484</v>
      </c>
      <c r="B190" s="38" t="s">
        <v>471</v>
      </c>
      <c r="C190" s="29"/>
      <c r="D190" s="29"/>
      <c r="E190" s="29"/>
      <c r="F190" s="29"/>
      <c r="G190" s="29"/>
      <c r="H190" s="29"/>
      <c r="I190" s="1178">
        <f>sysdata!F53</f>
        <v>4.6651846939235042E-4</v>
      </c>
      <c r="J190" s="46"/>
      <c r="K190" s="1176">
        <f>containers!K204</f>
        <v>0.84499999999999997</v>
      </c>
      <c r="L190" s="29"/>
      <c r="M190" s="178">
        <f>+I190*K190</f>
        <v>3.9420810663653609E-4</v>
      </c>
      <c r="N190" s="29"/>
      <c r="O190" s="1001" t="str">
        <f>containers!O204</f>
        <v xml:space="preserve">Note: 50% assumed to comprise equipment and spare parts, attracting 15% import duty and </v>
      </c>
      <c r="P190" s="29"/>
      <c r="Q190" s="29"/>
      <c r="R190" s="225"/>
    </row>
    <row r="191" spans="1:18" ht="24" thickTop="1" thickBot="1">
      <c r="A191" s="46"/>
      <c r="B191" s="29"/>
      <c r="C191" s="29"/>
      <c r="D191" s="29"/>
      <c r="E191" s="29"/>
      <c r="F191" s="29"/>
      <c r="G191" s="29"/>
      <c r="H191" s="29"/>
      <c r="I191" s="33"/>
      <c r="J191" s="29"/>
      <c r="K191" s="176"/>
      <c r="L191" s="29"/>
      <c r="M191" s="177"/>
      <c r="N191" s="29"/>
      <c r="O191" s="1001" t="str">
        <f>containers!O205</f>
        <v>10% VAT; remaining 50% attracts only VAT</v>
      </c>
      <c r="P191" s="29"/>
      <c r="Q191" s="29"/>
      <c r="R191" s="225"/>
    </row>
    <row r="192" spans="1:18" ht="24" thickTop="1" thickBot="1">
      <c r="A192" s="265" t="s">
        <v>485</v>
      </c>
      <c r="B192" s="38" t="s">
        <v>767</v>
      </c>
      <c r="C192" s="29"/>
      <c r="D192" s="29"/>
      <c r="E192" s="29"/>
      <c r="F192" s="29"/>
      <c r="G192" s="29"/>
      <c r="H192" s="29"/>
      <c r="I192" s="1164">
        <f>sysdata!F52</f>
        <v>4901.333333333333</v>
      </c>
      <c r="J192" s="46"/>
      <c r="K192" s="1176">
        <f>containers!K206</f>
        <v>0.9</v>
      </c>
      <c r="L192" s="29"/>
      <c r="M192" s="179">
        <f>+I192*K192</f>
        <v>4411.2</v>
      </c>
      <c r="N192" s="29"/>
      <c r="O192" s="1001" t="s">
        <v>790</v>
      </c>
      <c r="P192" s="29"/>
      <c r="Q192" s="29"/>
      <c r="R192" s="225"/>
    </row>
    <row r="193" spans="1:18" ht="24" thickTop="1" thickBot="1">
      <c r="A193" s="46"/>
      <c r="B193" s="29"/>
      <c r="C193" s="29"/>
      <c r="D193" s="29"/>
      <c r="E193" s="29"/>
      <c r="F193" s="29"/>
      <c r="G193" s="29"/>
      <c r="H193" s="29"/>
      <c r="I193" s="1008"/>
      <c r="J193" s="29"/>
      <c r="K193" s="176"/>
      <c r="L193" s="29"/>
      <c r="M193" s="177"/>
      <c r="N193" s="29"/>
      <c r="O193" s="29"/>
      <c r="P193" s="29"/>
      <c r="Q193" s="29"/>
      <c r="R193" s="225"/>
    </row>
    <row r="194" spans="1:18" ht="24" thickTop="1" thickBot="1">
      <c r="A194" s="265" t="s">
        <v>486</v>
      </c>
      <c r="B194" s="38" t="s">
        <v>64</v>
      </c>
      <c r="C194" s="29"/>
      <c r="D194" s="29"/>
      <c r="E194" s="29"/>
      <c r="F194" s="29"/>
      <c r="G194" s="29"/>
      <c r="H194" s="29"/>
      <c r="I194" s="1164">
        <f>sysdata!I180</f>
        <v>2976</v>
      </c>
      <c r="J194" s="46"/>
      <c r="K194" s="1176">
        <f>containers!K208</f>
        <v>0.87227414330218067</v>
      </c>
      <c r="L194" s="29"/>
      <c r="M194" s="179">
        <f>+I194*K194</f>
        <v>2595.8878504672898</v>
      </c>
      <c r="N194" s="29"/>
      <c r="O194" s="1001" t="s">
        <v>715</v>
      </c>
      <c r="P194" s="29"/>
      <c r="Q194" s="29"/>
      <c r="R194" s="225"/>
    </row>
    <row r="195" spans="1:18" ht="24" thickTop="1" thickBot="1">
      <c r="A195" s="46"/>
      <c r="B195" s="29"/>
      <c r="C195" s="29"/>
      <c r="D195" s="29"/>
      <c r="E195" s="29"/>
      <c r="F195" s="29"/>
      <c r="G195" s="29"/>
      <c r="H195" s="29"/>
      <c r="I195" s="33"/>
      <c r="J195" s="29"/>
      <c r="K195" s="176"/>
      <c r="L195" s="29"/>
      <c r="M195" s="177"/>
      <c r="N195" s="29"/>
      <c r="O195" s="1001" t="s">
        <v>716</v>
      </c>
      <c r="P195" s="29"/>
      <c r="Q195" s="29"/>
      <c r="R195" s="225"/>
    </row>
    <row r="196" spans="1:18" ht="24" thickTop="1" thickBot="1">
      <c r="A196" s="265" t="s">
        <v>492</v>
      </c>
      <c r="B196" s="38" t="s">
        <v>475</v>
      </c>
      <c r="C196" s="29"/>
      <c r="D196" s="29"/>
      <c r="E196" s="29"/>
      <c r="F196" s="29"/>
      <c r="G196" s="29"/>
      <c r="H196" s="29"/>
      <c r="I196" s="1177"/>
      <c r="J196" s="46"/>
      <c r="K196" s="1176">
        <f>containers!K210</f>
        <v>0.87781931464174467</v>
      </c>
      <c r="L196" s="29"/>
      <c r="M196" s="174">
        <f>+I196*K196</f>
        <v>0</v>
      </c>
      <c r="N196" s="29"/>
      <c r="O196" s="1001" t="s">
        <v>715</v>
      </c>
      <c r="P196" s="29"/>
      <c r="Q196" s="29"/>
      <c r="R196" s="225"/>
    </row>
    <row r="197" spans="1:18" ht="24" thickTop="1" thickBot="1">
      <c r="A197" s="266"/>
      <c r="B197" s="38"/>
      <c r="C197" s="29"/>
      <c r="D197" s="29"/>
      <c r="E197" s="29"/>
      <c r="F197" s="29"/>
      <c r="G197" s="29"/>
      <c r="H197" s="29"/>
      <c r="I197" s="181"/>
      <c r="J197" s="91"/>
      <c r="K197" s="182"/>
      <c r="L197" s="29"/>
      <c r="M197" s="174"/>
      <c r="N197" s="29"/>
      <c r="O197" s="1001" t="s">
        <v>716</v>
      </c>
      <c r="P197" s="29"/>
      <c r="Q197" s="29"/>
      <c r="R197" s="225"/>
    </row>
    <row r="198" spans="1:18" ht="24" thickTop="1" thickBot="1">
      <c r="A198" s="265" t="s">
        <v>494</v>
      </c>
      <c r="B198" s="38" t="s">
        <v>84</v>
      </c>
      <c r="C198" s="29"/>
      <c r="D198" s="29"/>
      <c r="E198" s="29"/>
      <c r="F198" s="29"/>
      <c r="G198" s="29"/>
      <c r="H198" s="29"/>
      <c r="I198" s="1179"/>
      <c r="J198" s="46"/>
      <c r="K198" s="1176">
        <f>containers!K212</f>
        <v>0.87227414330218067</v>
      </c>
      <c r="L198" s="29"/>
      <c r="M198" s="179">
        <f>+I198*K198</f>
        <v>0</v>
      </c>
      <c r="N198" s="29"/>
      <c r="O198" s="1001" t="s">
        <v>715</v>
      </c>
      <c r="P198" s="29"/>
      <c r="Q198" s="29"/>
      <c r="R198" s="225"/>
    </row>
    <row r="199" spans="1:18" ht="24" thickTop="1" thickBot="1">
      <c r="A199" s="266"/>
      <c r="B199" s="38"/>
      <c r="C199" s="29"/>
      <c r="D199" s="29"/>
      <c r="E199" s="29"/>
      <c r="F199" s="29"/>
      <c r="G199" s="29"/>
      <c r="H199" s="29"/>
      <c r="I199" s="181"/>
      <c r="J199" s="91"/>
      <c r="K199" s="182"/>
      <c r="L199" s="29"/>
      <c r="M199" s="174"/>
      <c r="N199" s="29"/>
      <c r="O199" s="1001" t="s">
        <v>716</v>
      </c>
      <c r="P199" s="29"/>
      <c r="Q199" s="29"/>
      <c r="R199" s="225"/>
    </row>
    <row r="200" spans="1:18" ht="24" thickTop="1" thickBot="1">
      <c r="A200" s="1153" t="str">
        <f>+A3</f>
        <v>RAILWAY BULK FREIGHT TRAFFIC COSTING SUB-MODEL</v>
      </c>
      <c r="B200" s="1154"/>
      <c r="C200" s="1154"/>
      <c r="D200" s="1154"/>
      <c r="E200" s="1154"/>
      <c r="F200" s="1154"/>
      <c r="G200" s="1154"/>
      <c r="H200" s="1154"/>
      <c r="I200" s="1155"/>
      <c r="J200" s="1156"/>
      <c r="K200" s="1157"/>
      <c r="L200" s="1157"/>
      <c r="M200" s="1157"/>
      <c r="N200" s="1157"/>
      <c r="O200" s="1157"/>
      <c r="P200" s="1157"/>
      <c r="Q200" s="1157"/>
      <c r="R200" s="1158"/>
    </row>
    <row r="201" spans="1:18" ht="15.6" thickTop="1">
      <c r="A201" s="26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25"/>
    </row>
    <row r="202" spans="1:18" ht="22.8">
      <c r="A202" s="263" t="s">
        <v>459</v>
      </c>
      <c r="B202" s="34" t="s">
        <v>158</v>
      </c>
      <c r="C202" s="29"/>
      <c r="D202" s="29"/>
      <c r="E202" s="29"/>
      <c r="F202" s="29"/>
      <c r="G202" s="29"/>
      <c r="H202" s="29"/>
      <c r="I202" s="36"/>
      <c r="J202" s="29"/>
      <c r="K202" s="29"/>
      <c r="L202" s="29"/>
      <c r="M202" s="29"/>
      <c r="N202" s="29"/>
      <c r="O202" s="29"/>
      <c r="P202" s="29"/>
      <c r="Q202" s="29"/>
      <c r="R202" s="225"/>
    </row>
    <row r="203" spans="1:18" ht="22.8">
      <c r="A203" s="263"/>
      <c r="B203" s="34"/>
      <c r="C203" s="29"/>
      <c r="D203" s="29"/>
      <c r="E203" s="29"/>
      <c r="F203" s="29"/>
      <c r="G203" s="29"/>
      <c r="H203" s="29"/>
      <c r="I203" s="36"/>
      <c r="J203" s="29"/>
      <c r="K203" s="29"/>
      <c r="L203" s="29"/>
      <c r="M203" s="29"/>
      <c r="N203" s="29"/>
      <c r="O203" s="29"/>
      <c r="P203" s="29"/>
      <c r="Q203" s="29"/>
      <c r="R203" s="225"/>
    </row>
    <row r="204" spans="1:18" ht="22.8">
      <c r="A204" s="270" t="s">
        <v>527</v>
      </c>
      <c r="B204" s="88" t="s">
        <v>531</v>
      </c>
      <c r="C204" s="29"/>
      <c r="D204" s="29"/>
      <c r="E204" s="29"/>
      <c r="F204" s="29"/>
      <c r="G204" s="29"/>
      <c r="H204" s="29"/>
      <c r="I204" s="89"/>
      <c r="J204" s="29"/>
      <c r="K204" s="29"/>
      <c r="L204" s="29"/>
      <c r="M204" s="89"/>
      <c r="N204" s="29"/>
      <c r="O204" s="29"/>
      <c r="P204" s="29"/>
      <c r="Q204" s="29"/>
      <c r="R204" s="225"/>
    </row>
    <row r="205" spans="1:18" ht="22.8">
      <c r="A205" s="264"/>
      <c r="B205" s="87"/>
      <c r="C205" s="29"/>
      <c r="D205" s="29"/>
      <c r="E205" s="29"/>
      <c r="F205" s="29"/>
      <c r="G205" s="29"/>
      <c r="H205" s="29"/>
      <c r="I205" s="89"/>
      <c r="J205" s="29"/>
      <c r="K205" s="29"/>
      <c r="L205" s="29"/>
      <c r="M205" s="89"/>
      <c r="N205" s="29"/>
      <c r="O205" s="29"/>
      <c r="P205" s="29"/>
      <c r="Q205" s="29"/>
      <c r="R205" s="225"/>
    </row>
    <row r="206" spans="1:18" ht="22.8">
      <c r="A206" s="264" t="s">
        <v>528</v>
      </c>
      <c r="B206" s="88" t="s">
        <v>529</v>
      </c>
      <c r="C206" s="29"/>
      <c r="D206" s="29"/>
      <c r="E206" s="29"/>
      <c r="F206" s="29"/>
      <c r="G206" s="29"/>
      <c r="H206" s="29"/>
      <c r="I206" s="89"/>
      <c r="J206" s="29"/>
      <c r="K206" s="29"/>
      <c r="L206" s="29"/>
      <c r="M206" s="89"/>
      <c r="N206" s="29"/>
      <c r="O206" s="29"/>
      <c r="P206" s="29"/>
      <c r="Q206" s="29"/>
      <c r="R206" s="225"/>
    </row>
    <row r="207" spans="1:18" ht="22.8">
      <c r="A207" s="264"/>
      <c r="B207" s="87"/>
      <c r="C207" s="29"/>
      <c r="D207" s="29"/>
      <c r="E207" s="29"/>
      <c r="F207" s="29"/>
      <c r="G207" s="29"/>
      <c r="H207" s="29"/>
      <c r="I207" s="89"/>
      <c r="J207" s="29"/>
      <c r="K207" s="29"/>
      <c r="L207" s="29"/>
      <c r="M207" s="89"/>
      <c r="N207" s="29"/>
      <c r="O207" s="29"/>
      <c r="P207" s="29"/>
      <c r="Q207" s="29"/>
      <c r="R207" s="225"/>
    </row>
    <row r="208" spans="1:18" ht="22.8">
      <c r="A208" s="264" t="s">
        <v>497</v>
      </c>
      <c r="B208" s="88" t="s">
        <v>96</v>
      </c>
      <c r="C208" s="29"/>
      <c r="D208" s="29"/>
      <c r="E208" s="29"/>
      <c r="F208" s="29"/>
      <c r="G208" s="29"/>
      <c r="H208" s="29"/>
      <c r="I208" s="89"/>
      <c r="J208" s="29"/>
      <c r="K208" s="29"/>
      <c r="L208" s="29"/>
      <c r="M208" s="89"/>
      <c r="N208" s="29"/>
      <c r="O208" s="776" t="s">
        <v>348</v>
      </c>
      <c r="P208" s="29"/>
      <c r="Q208" s="29"/>
      <c r="R208" s="225"/>
    </row>
    <row r="209" spans="1:18" ht="23.4" thickBot="1">
      <c r="A209" s="270"/>
      <c r="B209" s="87"/>
      <c r="C209" s="29"/>
      <c r="D209" s="29"/>
      <c r="E209" s="29"/>
      <c r="F209" s="29"/>
      <c r="G209" s="29"/>
      <c r="H209" s="29"/>
      <c r="I209" s="89"/>
      <c r="J209" s="29"/>
      <c r="K209" s="29"/>
      <c r="L209" s="29"/>
      <c r="M209" s="89"/>
      <c r="N209" s="29"/>
      <c r="O209" s="997"/>
      <c r="P209" s="29"/>
      <c r="Q209" s="29"/>
      <c r="R209" s="225"/>
    </row>
    <row r="210" spans="1:18" ht="24" thickTop="1" thickBot="1">
      <c r="A210" s="264" t="s">
        <v>244</v>
      </c>
      <c r="B210" s="439" t="s">
        <v>852</v>
      </c>
      <c r="C210" s="29"/>
      <c r="D210" s="29"/>
      <c r="E210" s="29"/>
      <c r="F210" s="29"/>
      <c r="G210" s="29"/>
      <c r="H210" s="29"/>
      <c r="I210" s="1180">
        <f>sysdata!I189*1000000</f>
        <v>2216389712</v>
      </c>
      <c r="J210" s="29"/>
      <c r="K210" s="1450">
        <f>containers!K228</f>
        <v>0.88000000000000012</v>
      </c>
      <c r="L210" s="29"/>
      <c r="M210" s="179">
        <f>+I210*K210</f>
        <v>1950422946.5600002</v>
      </c>
      <c r="N210" s="29"/>
      <c r="O210" s="1001" t="s">
        <v>777</v>
      </c>
      <c r="P210" s="29"/>
      <c r="Q210" s="29"/>
      <c r="R210" s="225"/>
    </row>
    <row r="211" spans="1:18" ht="23.4" thickTop="1">
      <c r="A211" s="270"/>
      <c r="B211" s="186" t="s">
        <v>92</v>
      </c>
      <c r="C211" s="187"/>
      <c r="D211" s="187"/>
      <c r="E211" s="187"/>
      <c r="F211" s="187"/>
      <c r="G211" s="187"/>
      <c r="H211" s="187"/>
      <c r="I211" s="89"/>
      <c r="J211" s="29"/>
      <c r="K211" s="29"/>
      <c r="L211" s="29"/>
      <c r="M211" s="89"/>
      <c r="N211" s="29"/>
      <c r="O211" s="1001" t="s">
        <v>776</v>
      </c>
      <c r="P211" s="29"/>
      <c r="Q211" s="29"/>
      <c r="R211" s="225"/>
    </row>
    <row r="212" spans="1:18" ht="22.8">
      <c r="A212" s="264"/>
      <c r="B212" s="188" t="s">
        <v>245</v>
      </c>
      <c r="C212" s="58"/>
      <c r="D212" s="58"/>
      <c r="E212" s="189"/>
      <c r="F212" s="190"/>
      <c r="G212" s="191"/>
      <c r="H212" s="189"/>
      <c r="I212" s="30"/>
      <c r="J212" s="29"/>
      <c r="K212" s="30"/>
      <c r="L212" s="29"/>
      <c r="M212" s="30"/>
      <c r="N212" s="30"/>
      <c r="O212" s="1004"/>
      <c r="P212" s="30"/>
      <c r="Q212" s="29"/>
      <c r="R212" s="225"/>
    </row>
    <row r="213" spans="1:18" ht="22.8">
      <c r="A213" s="270"/>
      <c r="B213" s="186" t="s">
        <v>93</v>
      </c>
      <c r="C213" s="187"/>
      <c r="D213" s="187"/>
      <c r="E213" s="187"/>
      <c r="F213" s="187"/>
      <c r="G213" s="187"/>
      <c r="H213" s="187"/>
      <c r="I213" s="89"/>
      <c r="J213" s="29"/>
      <c r="K213" s="29"/>
      <c r="L213" s="29"/>
      <c r="M213" s="89"/>
      <c r="N213" s="29"/>
      <c r="O213" s="997"/>
      <c r="P213" s="29"/>
      <c r="Q213" s="29"/>
      <c r="R213" s="225"/>
    </row>
    <row r="214" spans="1:18" ht="23.4" thickBot="1">
      <c r="A214" s="270"/>
      <c r="B214" s="87"/>
      <c r="C214" s="29"/>
      <c r="D214" s="29"/>
      <c r="E214" s="29"/>
      <c r="F214" s="29"/>
      <c r="G214" s="29"/>
      <c r="H214" s="29"/>
      <c r="I214" s="89"/>
      <c r="J214" s="29"/>
      <c r="K214" s="29"/>
      <c r="L214" s="29"/>
      <c r="M214" s="89"/>
      <c r="N214" s="29"/>
      <c r="O214" s="997"/>
      <c r="P214" s="29"/>
      <c r="Q214" s="29"/>
      <c r="R214" s="225"/>
    </row>
    <row r="215" spans="1:18" ht="24" thickTop="1" thickBot="1">
      <c r="A215" s="264" t="s">
        <v>246</v>
      </c>
      <c r="B215" s="87" t="s">
        <v>304</v>
      </c>
      <c r="C215" s="29"/>
      <c r="D215" s="29"/>
      <c r="E215" s="29"/>
      <c r="F215" s="29"/>
      <c r="G215" s="29"/>
      <c r="H215" s="29"/>
      <c r="I215" s="1181">
        <f>I210*M97</f>
        <v>204287366.43578866</v>
      </c>
      <c r="J215" s="29"/>
      <c r="K215" s="29"/>
      <c r="L215" s="29"/>
      <c r="M215" s="929">
        <f>M210*M97</f>
        <v>179772882.46349403</v>
      </c>
      <c r="N215" s="29"/>
      <c r="O215" s="1001" t="s">
        <v>777</v>
      </c>
      <c r="P215" s="29"/>
      <c r="Q215" s="29"/>
      <c r="R215" s="225"/>
    </row>
    <row r="216" spans="1:18" ht="24" thickTop="1" thickBot="1">
      <c r="A216" s="270"/>
      <c r="B216" s="87"/>
      <c r="C216" s="29"/>
      <c r="D216" s="29"/>
      <c r="E216" s="29"/>
      <c r="F216" s="29"/>
      <c r="G216" s="29"/>
      <c r="H216" s="29"/>
      <c r="I216" s="89"/>
      <c r="J216" s="29"/>
      <c r="K216" s="29"/>
      <c r="L216" s="29"/>
      <c r="M216" s="89"/>
      <c r="N216" s="29"/>
      <c r="O216" s="1001" t="s">
        <v>776</v>
      </c>
      <c r="P216" s="29"/>
      <c r="Q216" s="29"/>
      <c r="R216" s="225"/>
    </row>
    <row r="217" spans="1:18" ht="24" thickTop="1" thickBot="1">
      <c r="A217" s="265" t="s">
        <v>247</v>
      </c>
      <c r="B217" s="38" t="s">
        <v>94</v>
      </c>
      <c r="C217" s="29"/>
      <c r="D217" s="29"/>
      <c r="E217" s="29"/>
      <c r="F217" s="29"/>
      <c r="G217" s="29"/>
      <c r="H217" s="29"/>
      <c r="I217" s="1179">
        <v>50</v>
      </c>
      <c r="J217" s="29"/>
      <c r="K217" s="29"/>
      <c r="L217" s="29"/>
      <c r="M217" s="179">
        <f>+I217</f>
        <v>50</v>
      </c>
      <c r="N217" s="29"/>
      <c r="O217" s="1001" t="s">
        <v>711</v>
      </c>
      <c r="P217" s="29"/>
      <c r="Q217" s="29"/>
      <c r="R217" s="225"/>
    </row>
    <row r="218" spans="1:18" ht="24" thickTop="1" thickBot="1">
      <c r="A218" s="46"/>
      <c r="B218" s="29"/>
      <c r="C218" s="29"/>
      <c r="D218" s="29"/>
      <c r="E218" s="29"/>
      <c r="F218" s="29"/>
      <c r="G218" s="29"/>
      <c r="H218" s="29"/>
      <c r="I218" s="33"/>
      <c r="J218" s="29"/>
      <c r="K218" s="29"/>
      <c r="L218" s="29"/>
      <c r="M218" s="89"/>
      <c r="N218" s="29"/>
      <c r="O218" s="997"/>
      <c r="P218" s="29"/>
      <c r="Q218" s="29"/>
      <c r="R218" s="225"/>
    </row>
    <row r="219" spans="1:18" ht="24" thickTop="1" thickBot="1">
      <c r="A219" s="265" t="s">
        <v>248</v>
      </c>
      <c r="B219" s="38" t="s">
        <v>95</v>
      </c>
      <c r="C219" s="29"/>
      <c r="D219" s="29"/>
      <c r="E219" s="29"/>
      <c r="F219" s="29"/>
      <c r="G219" s="29"/>
      <c r="H219" s="29"/>
      <c r="I219" s="1167">
        <v>0.1</v>
      </c>
      <c r="J219" s="29"/>
      <c r="K219" s="29"/>
      <c r="L219" s="29"/>
      <c r="M219" s="192">
        <f>+I219</f>
        <v>0.1</v>
      </c>
      <c r="N219" s="29"/>
      <c r="O219" s="1001" t="s">
        <v>712</v>
      </c>
      <c r="P219" s="29"/>
      <c r="Q219" s="29"/>
      <c r="R219" s="225"/>
    </row>
    <row r="220" spans="1:18" ht="24" thickTop="1" thickBot="1">
      <c r="A220" s="265"/>
      <c r="B220" s="38"/>
      <c r="C220" s="29"/>
      <c r="D220" s="29"/>
      <c r="E220" s="29"/>
      <c r="F220" s="29"/>
      <c r="G220" s="29"/>
      <c r="H220" s="29"/>
      <c r="I220" s="1224"/>
      <c r="J220" s="29"/>
      <c r="K220" s="29"/>
      <c r="L220" s="29"/>
      <c r="M220" s="192"/>
      <c r="N220" s="29"/>
      <c r="O220" s="1001"/>
      <c r="P220" s="29"/>
      <c r="Q220" s="29"/>
      <c r="R220" s="225"/>
    </row>
    <row r="221" spans="1:18" ht="24" thickTop="1" thickBot="1">
      <c r="A221" s="767" t="s">
        <v>929</v>
      </c>
      <c r="B221" s="38" t="s">
        <v>921</v>
      </c>
      <c r="C221" s="29"/>
      <c r="D221" s="29"/>
      <c r="E221" s="29"/>
      <c r="F221" s="29"/>
      <c r="G221" s="29"/>
      <c r="H221" s="90"/>
      <c r="I221" s="1514">
        <v>2.8500000000000001E-2</v>
      </c>
      <c r="J221" s="29"/>
      <c r="K221" s="29"/>
      <c r="L221" s="29"/>
      <c r="M221" s="177"/>
      <c r="N221" s="29"/>
      <c r="O221" s="997"/>
      <c r="P221" s="29"/>
      <c r="Q221" s="29"/>
      <c r="R221" s="225"/>
    </row>
    <row r="222" spans="1:18" ht="23.4" thickTop="1">
      <c r="A222" s="270"/>
      <c r="B222" s="87"/>
      <c r="C222" s="29"/>
      <c r="D222" s="29"/>
      <c r="E222" s="29"/>
      <c r="F222" s="29"/>
      <c r="G222" s="29"/>
      <c r="H222" s="90"/>
      <c r="I222" s="1515"/>
      <c r="J222" s="29"/>
      <c r="K222" s="29"/>
      <c r="L222" s="29"/>
      <c r="M222" s="177"/>
      <c r="N222" s="29"/>
      <c r="O222" s="997"/>
      <c r="P222" s="29"/>
      <c r="Q222" s="29"/>
      <c r="R222" s="225"/>
    </row>
    <row r="223" spans="1:18" ht="22.8">
      <c r="A223" s="264" t="s">
        <v>499</v>
      </c>
      <c r="B223" s="88" t="s">
        <v>97</v>
      </c>
      <c r="C223" s="29"/>
      <c r="D223" s="29"/>
      <c r="E223" s="29"/>
      <c r="F223" s="29"/>
      <c r="G223" s="29"/>
      <c r="H223" s="29"/>
      <c r="I223" s="89"/>
      <c r="J223" s="29"/>
      <c r="K223" s="29"/>
      <c r="L223" s="29"/>
      <c r="M223" s="177"/>
      <c r="N223" s="29"/>
      <c r="O223" s="997"/>
      <c r="P223" s="29"/>
      <c r="Q223" s="29"/>
      <c r="R223" s="225"/>
    </row>
    <row r="224" spans="1:18" ht="23.4" thickBot="1">
      <c r="A224" s="270"/>
      <c r="B224" s="87"/>
      <c r="C224" s="29"/>
      <c r="D224" s="29"/>
      <c r="E224" s="29"/>
      <c r="F224" s="29"/>
      <c r="G224" s="29"/>
      <c r="H224" s="29"/>
      <c r="I224" s="89"/>
      <c r="J224" s="29"/>
      <c r="K224" s="29"/>
      <c r="L224" s="29"/>
      <c r="M224" s="177"/>
      <c r="N224" s="29"/>
      <c r="O224" s="997"/>
      <c r="P224" s="29"/>
      <c r="Q224" s="29"/>
      <c r="R224" s="225"/>
    </row>
    <row r="225" spans="1:18" ht="24" thickTop="1" thickBot="1">
      <c r="A225" s="264" t="s">
        <v>249</v>
      </c>
      <c r="B225" s="439" t="s">
        <v>784</v>
      </c>
      <c r="C225" s="29"/>
      <c r="D225" s="29"/>
      <c r="E225" s="29"/>
      <c r="F225" s="29"/>
      <c r="G225" s="29"/>
      <c r="H225" s="29"/>
      <c r="I225" s="1181">
        <f>sysdata!E198*1000000</f>
        <v>56000000</v>
      </c>
      <c r="J225" s="29"/>
      <c r="K225" s="1176">
        <f>containers!K243</f>
        <v>0.9</v>
      </c>
      <c r="L225" s="29"/>
      <c r="M225" s="888">
        <f>+I225*K225</f>
        <v>50400000</v>
      </c>
      <c r="N225" s="29"/>
      <c r="O225" s="1001" t="s">
        <v>713</v>
      </c>
      <c r="P225" s="29"/>
      <c r="Q225" s="29"/>
      <c r="R225" s="225"/>
    </row>
    <row r="226" spans="1:18" ht="24" thickTop="1" thickBot="1">
      <c r="A226" s="270"/>
      <c r="B226" s="87"/>
      <c r="C226" s="29"/>
      <c r="D226" s="29"/>
      <c r="E226" s="29"/>
      <c r="F226" s="29"/>
      <c r="G226" s="29"/>
      <c r="H226" s="29"/>
      <c r="I226" s="901"/>
      <c r="J226" s="29"/>
      <c r="K226" s="29"/>
      <c r="L226" s="29"/>
      <c r="M226" s="177"/>
      <c r="N226" s="29"/>
      <c r="O226" s="29"/>
      <c r="P226" s="29"/>
      <c r="Q226" s="29"/>
      <c r="R226" s="225"/>
    </row>
    <row r="227" spans="1:18" ht="24" thickTop="1" thickBot="1">
      <c r="A227" s="264" t="s">
        <v>250</v>
      </c>
      <c r="B227" s="87" t="s">
        <v>276</v>
      </c>
      <c r="C227" s="29"/>
      <c r="D227" s="29"/>
      <c r="E227" s="29"/>
      <c r="F227" s="29"/>
      <c r="G227" s="29"/>
      <c r="H227" s="29"/>
      <c r="I227" s="1181">
        <f>M97*I225</f>
        <v>5161588.8931739293</v>
      </c>
      <c r="J227" s="29"/>
      <c r="K227" s="29"/>
      <c r="L227" s="29"/>
      <c r="M227" s="1014">
        <f>+M97*M225</f>
        <v>4645430.0038565369</v>
      </c>
      <c r="N227" s="29"/>
      <c r="O227" s="29"/>
      <c r="P227" s="29"/>
      <c r="Q227" s="29"/>
      <c r="R227" s="225"/>
    </row>
    <row r="228" spans="1:18" ht="24" thickTop="1" thickBot="1">
      <c r="A228" s="270"/>
      <c r="B228" s="87"/>
      <c r="C228" s="29"/>
      <c r="D228" s="29"/>
      <c r="E228" s="29"/>
      <c r="F228" s="29"/>
      <c r="G228" s="29"/>
      <c r="H228" s="29"/>
      <c r="I228" s="89"/>
      <c r="J228" s="29"/>
      <c r="K228" s="29"/>
      <c r="L228" s="29"/>
      <c r="M228" s="177"/>
      <c r="N228" s="29"/>
      <c r="O228" s="29"/>
      <c r="P228" s="29"/>
      <c r="Q228" s="29"/>
      <c r="R228" s="225"/>
    </row>
    <row r="229" spans="1:18" ht="24" thickTop="1" thickBot="1">
      <c r="A229" s="264" t="s">
        <v>251</v>
      </c>
      <c r="B229" s="87" t="s">
        <v>98</v>
      </c>
      <c r="C229" s="29"/>
      <c r="D229" s="29"/>
      <c r="E229" s="29"/>
      <c r="F229" s="29"/>
      <c r="G229" s="29"/>
      <c r="H229" s="29"/>
      <c r="I229" s="1179">
        <v>30</v>
      </c>
      <c r="J229" s="29"/>
      <c r="K229" s="29"/>
      <c r="L229" s="29"/>
      <c r="M229" s="193">
        <f>+I229</f>
        <v>30</v>
      </c>
      <c r="N229" s="29"/>
      <c r="O229" s="29"/>
      <c r="P229" s="29"/>
      <c r="Q229" s="29"/>
      <c r="R229" s="225"/>
    </row>
    <row r="230" spans="1:18" ht="24" thickTop="1" thickBot="1">
      <c r="A230" s="270"/>
      <c r="B230" s="87"/>
      <c r="C230" s="29"/>
      <c r="D230" s="29"/>
      <c r="E230" s="29"/>
      <c r="F230" s="29"/>
      <c r="G230" s="29"/>
      <c r="H230" s="29"/>
      <c r="I230" s="89"/>
      <c r="J230" s="29"/>
      <c r="K230" s="29"/>
      <c r="L230" s="29"/>
      <c r="M230" s="177"/>
      <c r="N230" s="29"/>
      <c r="O230" s="29"/>
      <c r="P230" s="29"/>
      <c r="Q230" s="29"/>
      <c r="R230" s="225"/>
    </row>
    <row r="231" spans="1:18" ht="24" thickTop="1" thickBot="1">
      <c r="A231" s="264" t="s">
        <v>252</v>
      </c>
      <c r="B231" s="87" t="s">
        <v>99</v>
      </c>
      <c r="C231" s="29"/>
      <c r="D231" s="29"/>
      <c r="E231" s="29"/>
      <c r="F231" s="29"/>
      <c r="G231" s="29"/>
      <c r="H231" s="29"/>
      <c r="I231" s="1167">
        <v>0.25</v>
      </c>
      <c r="J231" s="29"/>
      <c r="K231" s="29"/>
      <c r="L231" s="29"/>
      <c r="M231" s="194">
        <f>+I231</f>
        <v>0.25</v>
      </c>
      <c r="N231" s="29"/>
      <c r="O231" s="29"/>
      <c r="P231" s="29"/>
      <c r="Q231" s="29"/>
      <c r="R231" s="225"/>
    </row>
    <row r="232" spans="1:18" ht="24" thickTop="1" thickBot="1">
      <c r="A232" s="270"/>
      <c r="B232" s="87"/>
      <c r="C232" s="29"/>
      <c r="D232" s="29"/>
      <c r="E232" s="29"/>
      <c r="F232" s="29"/>
      <c r="G232" s="29"/>
      <c r="H232" s="29"/>
      <c r="I232" s="89"/>
      <c r="J232" s="29"/>
      <c r="K232" s="29"/>
      <c r="L232" s="29"/>
      <c r="M232" s="177"/>
      <c r="N232" s="29"/>
      <c r="O232" s="29"/>
      <c r="P232" s="29"/>
      <c r="Q232" s="29"/>
      <c r="R232" s="225"/>
    </row>
    <row r="233" spans="1:18" ht="24" thickTop="1" thickBot="1">
      <c r="A233" s="767" t="s">
        <v>930</v>
      </c>
      <c r="B233" s="38" t="s">
        <v>921</v>
      </c>
      <c r="C233" s="29"/>
      <c r="D233" s="29"/>
      <c r="E233" s="29"/>
      <c r="F233" s="29"/>
      <c r="G233" s="29"/>
      <c r="H233" s="29"/>
      <c r="I233" s="1514">
        <v>2.8500000000000001E-2</v>
      </c>
      <c r="J233" s="29"/>
      <c r="K233" s="29"/>
      <c r="L233" s="29"/>
      <c r="M233" s="177"/>
      <c r="N233" s="29"/>
      <c r="O233" s="29"/>
      <c r="P233" s="29"/>
      <c r="Q233" s="29"/>
      <c r="R233" s="225"/>
    </row>
    <row r="234" spans="1:18" ht="23.4" thickTop="1">
      <c r="A234" s="270"/>
      <c r="B234" s="87"/>
      <c r="C234" s="29"/>
      <c r="D234" s="29"/>
      <c r="E234" s="29"/>
      <c r="F234" s="29"/>
      <c r="G234" s="29"/>
      <c r="H234" s="29"/>
      <c r="I234" s="89"/>
      <c r="J234" s="29"/>
      <c r="K234" s="29"/>
      <c r="L234" s="29"/>
      <c r="M234" s="177"/>
      <c r="N234" s="29"/>
      <c r="O234" s="29"/>
      <c r="P234" s="29"/>
      <c r="Q234" s="29"/>
      <c r="R234" s="225"/>
    </row>
    <row r="235" spans="1:18" ht="22.8">
      <c r="A235" s="270" t="s">
        <v>532</v>
      </c>
      <c r="B235" s="88" t="s">
        <v>517</v>
      </c>
      <c r="C235" s="29"/>
      <c r="D235" s="29"/>
      <c r="E235" s="29"/>
      <c r="F235" s="29"/>
      <c r="G235" s="29"/>
      <c r="H235" s="29"/>
      <c r="I235" s="89"/>
      <c r="J235" s="29"/>
      <c r="K235" s="29"/>
      <c r="L235" s="29"/>
      <c r="M235" s="177"/>
      <c r="N235" s="29"/>
      <c r="O235" s="29"/>
      <c r="P235" s="29"/>
      <c r="Q235" s="29"/>
      <c r="R235" s="225"/>
    </row>
    <row r="236" spans="1:18" ht="23.4" thickBot="1">
      <c r="A236" s="270"/>
      <c r="B236" s="87"/>
      <c r="C236" s="29"/>
      <c r="D236" s="29"/>
      <c r="E236" s="29"/>
      <c r="F236" s="29"/>
      <c r="G236" s="29"/>
      <c r="H236" s="29"/>
      <c r="I236" s="89"/>
      <c r="J236" s="29"/>
      <c r="K236" s="29"/>
      <c r="L236" s="29"/>
      <c r="M236" s="177"/>
      <c r="N236" s="29"/>
      <c r="O236" s="29"/>
      <c r="P236" s="29"/>
      <c r="Q236" s="29"/>
      <c r="R236" s="225"/>
    </row>
    <row r="237" spans="1:18" ht="24" thickTop="1" thickBot="1">
      <c r="A237" s="265" t="s">
        <v>501</v>
      </c>
      <c r="B237" s="38" t="s">
        <v>182</v>
      </c>
      <c r="C237" s="29"/>
      <c r="D237" s="29"/>
      <c r="E237" s="29"/>
      <c r="F237" s="29"/>
      <c r="G237" s="29"/>
      <c r="H237" s="29"/>
      <c r="I237" s="1164">
        <f>sysdata!I66*1000000</f>
        <v>4000000</v>
      </c>
      <c r="J237" s="46"/>
      <c r="K237" s="1176">
        <f>containers!K255</f>
        <v>0.79</v>
      </c>
      <c r="L237" s="29"/>
      <c r="M237" s="888">
        <f>+I237*K237</f>
        <v>3160000</v>
      </c>
      <c r="N237" s="29"/>
      <c r="O237" s="774" t="s">
        <v>714</v>
      </c>
      <c r="P237" s="29"/>
      <c r="Q237" s="29"/>
      <c r="R237" s="225"/>
    </row>
    <row r="238" spans="1:18" ht="24" thickTop="1" thickBot="1">
      <c r="A238" s="46"/>
      <c r="B238" s="29"/>
      <c r="C238" s="29"/>
      <c r="D238" s="29"/>
      <c r="E238" s="29"/>
      <c r="F238" s="29"/>
      <c r="G238" s="29"/>
      <c r="H238" s="29"/>
      <c r="I238" s="33"/>
      <c r="J238" s="29"/>
      <c r="K238" s="29"/>
      <c r="L238" s="29"/>
      <c r="M238" s="177"/>
      <c r="N238" s="29"/>
      <c r="O238" s="29"/>
      <c r="P238" s="29"/>
      <c r="Q238" s="29"/>
      <c r="R238" s="225"/>
    </row>
    <row r="239" spans="1:18" ht="24" thickTop="1" thickBot="1">
      <c r="A239" s="264" t="s">
        <v>503</v>
      </c>
      <c r="B239" s="87" t="s">
        <v>183</v>
      </c>
      <c r="C239" s="29"/>
      <c r="D239" s="29"/>
      <c r="E239" s="29"/>
      <c r="F239" s="29"/>
      <c r="G239" s="29"/>
      <c r="H239" s="29"/>
      <c r="I239" s="1182">
        <v>25</v>
      </c>
      <c r="J239" s="29"/>
      <c r="K239" s="29"/>
      <c r="L239" s="29"/>
      <c r="M239" s="155">
        <f>+I239</f>
        <v>25</v>
      </c>
      <c r="N239" s="29"/>
      <c r="O239" s="769"/>
      <c r="P239" s="29"/>
      <c r="Q239" s="29"/>
      <c r="R239" s="225"/>
    </row>
    <row r="240" spans="1:18" ht="24" thickTop="1" thickBot="1">
      <c r="A240" s="46"/>
      <c r="B240" s="29"/>
      <c r="C240" s="29"/>
      <c r="D240" s="29"/>
      <c r="E240" s="29"/>
      <c r="F240" s="29"/>
      <c r="G240" s="29"/>
      <c r="H240" s="29"/>
      <c r="I240" s="33"/>
      <c r="J240" s="29"/>
      <c r="K240" s="29"/>
      <c r="L240" s="29"/>
      <c r="M240" s="177"/>
      <c r="N240" s="29"/>
      <c r="O240" s="29"/>
      <c r="P240" s="29"/>
      <c r="Q240" s="29"/>
      <c r="R240" s="225"/>
    </row>
    <row r="241" spans="1:18" ht="24" thickTop="1" thickBot="1">
      <c r="A241" s="265" t="s">
        <v>504</v>
      </c>
      <c r="B241" s="38" t="s">
        <v>184</v>
      </c>
      <c r="C241" s="29"/>
      <c r="D241" s="29"/>
      <c r="E241" s="29"/>
      <c r="F241" s="29"/>
      <c r="G241" s="29"/>
      <c r="H241" s="29"/>
      <c r="I241" s="1167">
        <v>0.25</v>
      </c>
      <c r="J241" s="29"/>
      <c r="K241" s="29"/>
      <c r="L241" s="29"/>
      <c r="M241" s="192">
        <f>+I241</f>
        <v>0.25</v>
      </c>
      <c r="N241" s="29"/>
      <c r="O241" s="29"/>
      <c r="P241" s="29"/>
      <c r="Q241" s="29"/>
      <c r="R241" s="225"/>
    </row>
    <row r="242" spans="1:18" ht="24" thickTop="1" thickBot="1">
      <c r="A242" s="265"/>
      <c r="B242" s="38"/>
      <c r="C242" s="29"/>
      <c r="D242" s="29"/>
      <c r="E242" s="29"/>
      <c r="F242" s="29"/>
      <c r="G242" s="29"/>
      <c r="H242" s="29"/>
      <c r="I242" s="1513"/>
      <c r="J242" s="29"/>
      <c r="K242" s="29"/>
      <c r="L242" s="29"/>
      <c r="M242" s="192"/>
      <c r="N242" s="29"/>
      <c r="O242" s="29"/>
      <c r="P242" s="29"/>
      <c r="Q242" s="29"/>
      <c r="R242" s="225"/>
    </row>
    <row r="243" spans="1:18" ht="24" thickTop="1" thickBot="1">
      <c r="A243" s="265" t="s">
        <v>145</v>
      </c>
      <c r="B243" s="439" t="s">
        <v>924</v>
      </c>
      <c r="C243" s="29"/>
      <c r="D243" s="29"/>
      <c r="E243" s="29"/>
      <c r="F243" s="29"/>
      <c r="G243" s="29"/>
      <c r="H243" s="29"/>
      <c r="I243" s="1167">
        <v>7.0000000000000007E-2</v>
      </c>
      <c r="J243" s="29"/>
      <c r="K243" s="29"/>
      <c r="L243" s="29"/>
      <c r="M243" s="192"/>
      <c r="N243" s="29"/>
      <c r="O243" s="29"/>
      <c r="P243" s="29"/>
      <c r="Q243" s="29"/>
      <c r="R243" s="225"/>
    </row>
    <row r="244" spans="1:18" ht="24" thickTop="1" thickBot="1">
      <c r="A244" s="46"/>
      <c r="B244" s="29"/>
      <c r="C244" s="29"/>
      <c r="D244" s="29"/>
      <c r="E244" s="29"/>
      <c r="F244" s="29"/>
      <c r="G244" s="29"/>
      <c r="H244" s="29"/>
      <c r="I244" s="33"/>
      <c r="J244" s="29"/>
      <c r="K244" s="29"/>
      <c r="L244" s="29"/>
      <c r="M244" s="177"/>
      <c r="N244" s="29"/>
      <c r="O244" s="29"/>
      <c r="P244" s="29"/>
      <c r="Q244" s="29"/>
      <c r="R244" s="225"/>
    </row>
    <row r="245" spans="1:18" ht="24" thickTop="1" thickBot="1">
      <c r="A245" s="264" t="s">
        <v>505</v>
      </c>
      <c r="B245" s="87" t="s">
        <v>185</v>
      </c>
      <c r="C245" s="29"/>
      <c r="D245" s="29"/>
      <c r="E245" s="29"/>
      <c r="F245" s="29"/>
      <c r="G245" s="29"/>
      <c r="H245" s="29"/>
      <c r="I245" s="1164">
        <f>sysdata!I70*1000000</f>
        <v>1500000</v>
      </c>
      <c r="J245" s="29"/>
      <c r="K245" s="1176">
        <f>containers!K263</f>
        <v>0.79</v>
      </c>
      <c r="L245" s="29"/>
      <c r="M245" s="888">
        <f>+I245*K245</f>
        <v>1185000</v>
      </c>
      <c r="N245" s="29"/>
      <c r="O245" s="29"/>
      <c r="P245" s="29"/>
      <c r="Q245" s="29"/>
      <c r="R245" s="225"/>
    </row>
    <row r="246" spans="1:18" ht="24" thickTop="1" thickBot="1">
      <c r="A246" s="46"/>
      <c r="B246" s="29"/>
      <c r="C246" s="29"/>
      <c r="D246" s="29"/>
      <c r="E246" s="29"/>
      <c r="F246" s="29"/>
      <c r="G246" s="29"/>
      <c r="H246" s="29"/>
      <c r="I246" s="33"/>
      <c r="J246" s="29"/>
      <c r="K246" s="29"/>
      <c r="L246" s="29"/>
      <c r="M246" s="177"/>
      <c r="N246" s="29"/>
      <c r="O246" s="29"/>
      <c r="P246" s="29"/>
      <c r="Q246" s="29"/>
      <c r="R246" s="225"/>
    </row>
    <row r="247" spans="1:18" ht="24" thickTop="1" thickBot="1">
      <c r="A247" s="264" t="s">
        <v>507</v>
      </c>
      <c r="B247" s="87" t="s">
        <v>186</v>
      </c>
      <c r="C247" s="29"/>
      <c r="D247" s="29"/>
      <c r="E247" s="29"/>
      <c r="F247" s="29"/>
      <c r="G247" s="29"/>
      <c r="H247" s="29"/>
      <c r="I247" s="1182">
        <v>25</v>
      </c>
      <c r="J247" s="29"/>
      <c r="K247" s="29"/>
      <c r="L247" s="29"/>
      <c r="M247" s="177">
        <f>+I247</f>
        <v>25</v>
      </c>
      <c r="N247" s="29"/>
      <c r="O247" s="29"/>
      <c r="P247" s="29"/>
      <c r="Q247" s="29"/>
      <c r="R247" s="225"/>
    </row>
    <row r="248" spans="1:18" ht="24" thickTop="1" thickBot="1">
      <c r="A248" s="46"/>
      <c r="B248" s="29"/>
      <c r="C248" s="29"/>
      <c r="D248" s="29"/>
      <c r="E248" s="29"/>
      <c r="F248" s="29"/>
      <c r="G248" s="29"/>
      <c r="H248" s="29"/>
      <c r="I248" s="33"/>
      <c r="J248" s="29"/>
      <c r="K248" s="29"/>
      <c r="L248" s="29"/>
      <c r="M248" s="177"/>
      <c r="N248" s="29"/>
      <c r="O248" s="29"/>
      <c r="P248" s="29"/>
      <c r="Q248" s="29"/>
      <c r="R248" s="225"/>
    </row>
    <row r="249" spans="1:18" ht="24" thickTop="1" thickBot="1">
      <c r="A249" s="265" t="s">
        <v>509</v>
      </c>
      <c r="B249" s="38" t="s">
        <v>187</v>
      </c>
      <c r="C249" s="29"/>
      <c r="D249" s="29"/>
      <c r="E249" s="29"/>
      <c r="F249" s="29"/>
      <c r="G249" s="29"/>
      <c r="H249" s="29"/>
      <c r="I249" s="1167">
        <v>0.1</v>
      </c>
      <c r="J249" s="29"/>
      <c r="K249" s="29"/>
      <c r="L249" s="29"/>
      <c r="M249" s="194">
        <f>+I249</f>
        <v>0.1</v>
      </c>
      <c r="N249" s="29"/>
      <c r="O249" s="29"/>
      <c r="P249" s="29"/>
      <c r="Q249" s="29"/>
      <c r="R249" s="225"/>
    </row>
    <row r="250" spans="1:18" ht="24" thickTop="1" thickBot="1">
      <c r="A250" s="46"/>
      <c r="B250" s="29"/>
      <c r="C250" s="29"/>
      <c r="D250" s="29"/>
      <c r="E250" s="29"/>
      <c r="F250" s="29"/>
      <c r="G250" s="29"/>
      <c r="H250" s="29"/>
      <c r="I250" s="33"/>
      <c r="J250" s="29"/>
      <c r="K250" s="29"/>
      <c r="L250" s="29"/>
      <c r="M250" s="177"/>
      <c r="N250" s="29"/>
      <c r="O250" s="29"/>
      <c r="P250" s="29"/>
      <c r="Q250" s="29"/>
      <c r="R250" s="225"/>
    </row>
    <row r="251" spans="1:18" ht="24" thickTop="1" thickBot="1">
      <c r="A251" s="767" t="s">
        <v>931</v>
      </c>
      <c r="B251" s="439" t="s">
        <v>926</v>
      </c>
      <c r="C251" s="29"/>
      <c r="D251" s="29"/>
      <c r="E251" s="29"/>
      <c r="F251" s="29"/>
      <c r="G251" s="29"/>
      <c r="H251" s="29"/>
      <c r="I251" s="1167">
        <f>+I243</f>
        <v>7.0000000000000007E-2</v>
      </c>
      <c r="J251" s="29"/>
      <c r="K251" s="29"/>
      <c r="L251" s="29"/>
      <c r="M251" s="177"/>
      <c r="N251" s="29"/>
      <c r="O251" s="29"/>
      <c r="P251" s="29"/>
      <c r="Q251" s="29"/>
      <c r="R251" s="225"/>
    </row>
    <row r="252" spans="1:18" ht="23.4" thickTop="1">
      <c r="A252" s="46"/>
      <c r="B252" s="29"/>
      <c r="C252" s="29"/>
      <c r="D252" s="29"/>
      <c r="E252" s="29"/>
      <c r="F252" s="29"/>
      <c r="G252" s="29"/>
      <c r="H252" s="29"/>
      <c r="I252" s="89"/>
      <c r="J252" s="29"/>
      <c r="K252" s="29"/>
      <c r="L252" s="29"/>
      <c r="M252" s="177"/>
      <c r="N252" s="29"/>
      <c r="O252" s="29"/>
      <c r="P252" s="29"/>
      <c r="Q252" s="29"/>
      <c r="R252" s="225"/>
    </row>
    <row r="253" spans="1:18" ht="22.8">
      <c r="A253" s="270" t="s">
        <v>533</v>
      </c>
      <c r="B253" s="88" t="s">
        <v>534</v>
      </c>
      <c r="C253" s="29"/>
      <c r="D253" s="29"/>
      <c r="E253" s="29"/>
      <c r="F253" s="29"/>
      <c r="G253" s="29"/>
      <c r="H253" s="29"/>
      <c r="I253" s="92"/>
      <c r="J253" s="91"/>
      <c r="K253" s="29"/>
      <c r="L253" s="29"/>
      <c r="M253" s="177"/>
      <c r="N253" s="29"/>
      <c r="O253" s="29"/>
      <c r="P253" s="29"/>
      <c r="Q253" s="29"/>
      <c r="R253" s="225"/>
    </row>
    <row r="254" spans="1:18" ht="23.4" thickBot="1">
      <c r="A254" s="46"/>
      <c r="B254" s="29"/>
      <c r="C254" s="29"/>
      <c r="D254" s="29"/>
      <c r="E254" s="29"/>
      <c r="F254" s="29"/>
      <c r="G254" s="29"/>
      <c r="H254" s="29"/>
      <c r="I254" s="89"/>
      <c r="J254" s="29"/>
      <c r="K254" s="29"/>
      <c r="L254" s="29"/>
      <c r="M254" s="177"/>
      <c r="N254" s="29"/>
      <c r="O254" s="29"/>
      <c r="P254" s="29"/>
      <c r="Q254" s="29"/>
      <c r="R254" s="225"/>
    </row>
    <row r="255" spans="1:18" ht="24" thickTop="1" thickBot="1">
      <c r="A255" s="265" t="s">
        <v>510</v>
      </c>
      <c r="B255" s="38" t="s">
        <v>478</v>
      </c>
      <c r="C255" s="29"/>
      <c r="D255" s="29"/>
      <c r="E255" s="29"/>
      <c r="F255" s="29"/>
      <c r="G255" s="29"/>
      <c r="H255" s="29"/>
      <c r="I255" s="1183">
        <f>sysdata!I103*1000000</f>
        <v>189000</v>
      </c>
      <c r="J255" s="46"/>
      <c r="K255" s="1176">
        <f>containers!K273</f>
        <v>0.79</v>
      </c>
      <c r="L255" s="29"/>
      <c r="M255" s="888">
        <f>+I255*K255</f>
        <v>149310</v>
      </c>
      <c r="N255" s="29"/>
      <c r="O255" s="774" t="s">
        <v>714</v>
      </c>
      <c r="P255" s="29"/>
      <c r="Q255" s="29"/>
      <c r="R255" s="225"/>
    </row>
    <row r="256" spans="1:18" ht="24" thickTop="1" thickBot="1">
      <c r="A256" s="46"/>
      <c r="B256" s="29"/>
      <c r="C256" s="29"/>
      <c r="D256" s="29"/>
      <c r="E256" s="29"/>
      <c r="F256" s="29"/>
      <c r="G256" s="29"/>
      <c r="H256" s="29"/>
      <c r="I256" s="33"/>
      <c r="J256" s="29"/>
      <c r="K256" s="29"/>
      <c r="L256" s="29"/>
      <c r="M256" s="177"/>
      <c r="N256" s="29"/>
      <c r="O256" s="29"/>
      <c r="P256" s="29"/>
      <c r="Q256" s="29"/>
      <c r="R256" s="225"/>
    </row>
    <row r="257" spans="1:18" ht="24" thickTop="1" thickBot="1">
      <c r="A257" s="264" t="s">
        <v>512</v>
      </c>
      <c r="B257" s="87" t="s">
        <v>535</v>
      </c>
      <c r="C257" s="29"/>
      <c r="D257" s="29"/>
      <c r="E257" s="29"/>
      <c r="F257" s="29"/>
      <c r="G257" s="29"/>
      <c r="H257" s="29"/>
      <c r="I257" s="1179">
        <v>20</v>
      </c>
      <c r="J257" s="46"/>
      <c r="K257" s="29"/>
      <c r="L257" s="29"/>
      <c r="M257" s="179">
        <f>+I257</f>
        <v>20</v>
      </c>
      <c r="N257" s="29"/>
      <c r="O257" s="29"/>
      <c r="P257" s="29"/>
      <c r="Q257" s="29"/>
      <c r="R257" s="225"/>
    </row>
    <row r="258" spans="1:18" ht="24" thickTop="1" thickBot="1">
      <c r="A258" s="46"/>
      <c r="B258" s="29"/>
      <c r="C258" s="29"/>
      <c r="D258" s="29"/>
      <c r="E258" s="29"/>
      <c r="F258" s="29"/>
      <c r="G258" s="29"/>
      <c r="H258" s="29"/>
      <c r="I258" s="33"/>
      <c r="J258" s="29"/>
      <c r="K258" s="29"/>
      <c r="L258" s="29"/>
      <c r="M258" s="177"/>
      <c r="N258" s="29"/>
      <c r="O258" s="29"/>
      <c r="P258" s="29"/>
      <c r="Q258" s="29"/>
      <c r="R258" s="225"/>
    </row>
    <row r="259" spans="1:18" ht="24" thickTop="1" thickBot="1">
      <c r="A259" s="265" t="s">
        <v>513</v>
      </c>
      <c r="B259" s="38" t="s">
        <v>536</v>
      </c>
      <c r="C259" s="29"/>
      <c r="D259" s="29"/>
      <c r="E259" s="29"/>
      <c r="F259" s="29"/>
      <c r="G259" s="29"/>
      <c r="H259" s="29"/>
      <c r="I259" s="1167">
        <v>0.1</v>
      </c>
      <c r="J259" s="46"/>
      <c r="K259" s="29"/>
      <c r="L259" s="29"/>
      <c r="M259" s="192">
        <f>+I259</f>
        <v>0.1</v>
      </c>
      <c r="N259" s="29"/>
      <c r="O259" s="29"/>
      <c r="P259" s="29"/>
      <c r="Q259" s="29"/>
      <c r="R259" s="225"/>
    </row>
    <row r="260" spans="1:18" ht="24" thickTop="1" thickBot="1">
      <c r="A260" s="265"/>
      <c r="B260" s="38"/>
      <c r="C260" s="29"/>
      <c r="D260" s="29"/>
      <c r="E260" s="29"/>
      <c r="F260" s="29"/>
      <c r="G260" s="29"/>
      <c r="H260" s="29"/>
      <c r="I260" s="1513"/>
      <c r="J260" s="91"/>
      <c r="K260" s="29"/>
      <c r="L260" s="29"/>
      <c r="M260" s="192"/>
      <c r="N260" s="29"/>
      <c r="O260" s="29"/>
      <c r="P260" s="29"/>
      <c r="Q260" s="29"/>
      <c r="R260" s="225"/>
    </row>
    <row r="261" spans="1:18" ht="24" thickTop="1" thickBot="1">
      <c r="A261" s="265" t="s">
        <v>932</v>
      </c>
      <c r="B261" s="439" t="s">
        <v>928</v>
      </c>
      <c r="C261" s="29"/>
      <c r="D261" s="29"/>
      <c r="E261" s="29"/>
      <c r="F261" s="29"/>
      <c r="G261" s="29"/>
      <c r="H261" s="29"/>
      <c r="I261" s="1167">
        <f>+I251</f>
        <v>7.0000000000000007E-2</v>
      </c>
      <c r="J261" s="91"/>
      <c r="K261" s="29"/>
      <c r="L261" s="29"/>
      <c r="M261" s="192"/>
      <c r="N261" s="29"/>
      <c r="O261" s="29"/>
      <c r="P261" s="29"/>
      <c r="Q261" s="29"/>
      <c r="R261" s="225"/>
    </row>
    <row r="262" spans="1:18" ht="24" thickTop="1" thickBot="1">
      <c r="A262" s="46"/>
      <c r="B262" s="29"/>
      <c r="C262" s="29"/>
      <c r="D262" s="29"/>
      <c r="E262" s="29"/>
      <c r="F262" s="29"/>
      <c r="G262" s="29"/>
      <c r="H262" s="29"/>
      <c r="I262" s="33"/>
      <c r="J262" s="29"/>
      <c r="K262" s="29"/>
      <c r="L262" s="29"/>
      <c r="M262" s="177"/>
      <c r="N262" s="29"/>
      <c r="O262" s="29"/>
      <c r="P262" s="29"/>
      <c r="Q262" s="29"/>
      <c r="R262" s="225"/>
    </row>
    <row r="263" spans="1:18" ht="24" thickTop="1" thickBot="1">
      <c r="A263" s="1153" t="str">
        <f>+A3</f>
        <v>RAILWAY BULK FREIGHT TRAFFIC COSTING SUB-MODEL</v>
      </c>
      <c r="B263" s="1154"/>
      <c r="C263" s="1154"/>
      <c r="D263" s="1154"/>
      <c r="E263" s="1154"/>
      <c r="F263" s="1154"/>
      <c r="G263" s="1154"/>
      <c r="H263" s="1154"/>
      <c r="I263" s="1155"/>
      <c r="J263" s="1156"/>
      <c r="K263" s="1157"/>
      <c r="L263" s="1157"/>
      <c r="M263" s="1157"/>
      <c r="N263" s="1157"/>
      <c r="O263" s="1157"/>
      <c r="P263" s="1157"/>
      <c r="Q263" s="1157"/>
      <c r="R263" s="1158"/>
    </row>
    <row r="264" spans="1:18" ht="23.4" thickTop="1">
      <c r="A264" s="266"/>
      <c r="B264" s="38"/>
      <c r="C264" s="29"/>
      <c r="D264" s="29"/>
      <c r="E264" s="29"/>
      <c r="F264" s="29"/>
      <c r="G264" s="29"/>
      <c r="H264" s="29"/>
      <c r="I264" s="93"/>
      <c r="J264" s="91"/>
      <c r="K264" s="29"/>
      <c r="L264" s="29"/>
      <c r="M264" s="29"/>
      <c r="N264" s="29"/>
      <c r="O264" s="29"/>
      <c r="P264" s="29"/>
      <c r="Q264" s="29"/>
      <c r="R264" s="225"/>
    </row>
    <row r="265" spans="1:18" ht="24.6">
      <c r="A265" s="293" t="s">
        <v>487</v>
      </c>
      <c r="B265" s="294" t="s">
        <v>109</v>
      </c>
      <c r="C265" s="294"/>
      <c r="D265" s="294"/>
      <c r="E265" s="294"/>
      <c r="F265" s="295"/>
      <c r="G265" s="29"/>
      <c r="H265" s="29"/>
      <c r="I265" s="36"/>
      <c r="J265" s="29"/>
      <c r="K265" s="29"/>
      <c r="L265" s="29"/>
      <c r="M265" s="29"/>
      <c r="N265" s="29"/>
      <c r="O265" s="29"/>
      <c r="P265" s="29"/>
      <c r="Q265" s="29"/>
      <c r="R265" s="225"/>
    </row>
    <row r="266" spans="1:18" ht="22.8">
      <c r="A266" s="46"/>
      <c r="B266" s="29"/>
      <c r="C266" s="29"/>
      <c r="D266" s="29"/>
      <c r="E266" s="29"/>
      <c r="F266" s="29"/>
      <c r="G266" s="29"/>
      <c r="H266" s="29"/>
      <c r="I266" s="197" t="s">
        <v>107</v>
      </c>
      <c r="J266" s="30"/>
      <c r="K266" s="51" t="s">
        <v>105</v>
      </c>
      <c r="L266" s="30"/>
      <c r="M266" s="52" t="s">
        <v>488</v>
      </c>
      <c r="N266" s="52"/>
      <c r="O266" s="52" t="s">
        <v>489</v>
      </c>
      <c r="P266" s="30"/>
      <c r="Q266" s="52" t="s">
        <v>489</v>
      </c>
      <c r="R266" s="226"/>
    </row>
    <row r="267" spans="1:18" ht="22.8">
      <c r="A267" s="272" t="s">
        <v>102</v>
      </c>
      <c r="B267" s="195" t="s">
        <v>103</v>
      </c>
      <c r="C267" s="29"/>
      <c r="D267" s="29"/>
      <c r="E267" s="29"/>
      <c r="F267" s="29"/>
      <c r="G267" s="29"/>
      <c r="H267" s="29"/>
      <c r="I267" s="30"/>
      <c r="J267" s="30"/>
      <c r="K267" s="52" t="s">
        <v>106</v>
      </c>
      <c r="L267" s="29"/>
      <c r="M267" s="52" t="s">
        <v>491</v>
      </c>
      <c r="N267" s="29"/>
      <c r="O267" s="52" t="s">
        <v>104</v>
      </c>
      <c r="P267" s="35"/>
      <c r="Q267" s="52" t="s">
        <v>537</v>
      </c>
      <c r="R267" s="226"/>
    </row>
    <row r="268" spans="1:18" ht="22.8">
      <c r="A268" s="46"/>
      <c r="B268" s="29"/>
      <c r="C268" s="29"/>
      <c r="D268" s="29"/>
      <c r="E268" s="29"/>
      <c r="F268" s="29"/>
      <c r="G268" s="29"/>
      <c r="H268" s="29"/>
      <c r="I268" s="30"/>
      <c r="J268" s="30"/>
      <c r="K268" s="52"/>
      <c r="L268" s="29"/>
      <c r="M268" s="52"/>
      <c r="N268" s="29"/>
      <c r="O268" s="52"/>
      <c r="P268" s="35"/>
      <c r="Q268" s="52"/>
      <c r="R268" s="226"/>
    </row>
    <row r="269" spans="1:18" ht="22.8">
      <c r="A269" s="265" t="s">
        <v>514</v>
      </c>
      <c r="B269" s="38" t="s">
        <v>493</v>
      </c>
      <c r="C269" s="29"/>
      <c r="D269" s="29"/>
      <c r="E269" s="29"/>
      <c r="F269" s="29"/>
      <c r="G269" s="29"/>
      <c r="H269" s="29"/>
      <c r="I269" s="890">
        <f>+I115*I180</f>
        <v>271002.32198142412</v>
      </c>
      <c r="J269" s="30"/>
      <c r="K269" s="892">
        <f>+I269/$K$97</f>
        <v>377.96697626418984</v>
      </c>
      <c r="L269" s="53"/>
      <c r="M269" s="892">
        <f>+I269/($I$61*$K$97)</f>
        <v>9.4491744066047456</v>
      </c>
      <c r="N269" s="53"/>
      <c r="O269" s="201">
        <f>+I269/$I$41</f>
        <v>0.3871461742591773</v>
      </c>
      <c r="P269" s="53"/>
      <c r="Q269" s="203">
        <f>+I269/($I$28*$I$41)</f>
        <v>1.3213180008845643E-3</v>
      </c>
      <c r="R269" s="227"/>
    </row>
    <row r="270" spans="1:18" ht="22.8">
      <c r="A270" s="46"/>
      <c r="B270" s="29"/>
      <c r="C270" s="29"/>
      <c r="D270" s="29"/>
      <c r="E270" s="29"/>
      <c r="F270" s="29"/>
      <c r="G270" s="29"/>
      <c r="H270" s="29"/>
      <c r="I270" s="891"/>
      <c r="J270" s="30"/>
      <c r="K270" s="892"/>
      <c r="L270" s="53"/>
      <c r="M270" s="897"/>
      <c r="N270" s="53"/>
      <c r="O270" s="53"/>
      <c r="P270" s="53"/>
      <c r="Q270" s="54"/>
      <c r="R270" s="228"/>
    </row>
    <row r="271" spans="1:18" ht="22.8">
      <c r="A271" s="265" t="s">
        <v>518</v>
      </c>
      <c r="B271" s="86" t="s">
        <v>525</v>
      </c>
      <c r="C271" s="29"/>
      <c r="D271" s="29"/>
      <c r="E271" s="29"/>
      <c r="F271" s="29"/>
      <c r="G271" s="29"/>
      <c r="H271" s="29"/>
      <c r="I271" s="890">
        <f>+I149*I182+I151*I184</f>
        <v>1269355.4772062663</v>
      </c>
      <c r="J271" s="30"/>
      <c r="K271" s="892">
        <f>+I271/$K$97</f>
        <v>1770.3702610966056</v>
      </c>
      <c r="L271" s="53"/>
      <c r="M271" s="892">
        <f>+I271/($I$61*$K$97)</f>
        <v>44.25925652741514</v>
      </c>
      <c r="N271" s="53"/>
      <c r="O271" s="201">
        <f>+I271/$I$41</f>
        <v>1.8133649674375232</v>
      </c>
      <c r="P271" s="53"/>
      <c r="Q271" s="203">
        <f>+I271/($I$28*$I$41)</f>
        <v>6.1889589332338674E-3</v>
      </c>
      <c r="R271" s="227"/>
    </row>
    <row r="272" spans="1:18" ht="22.8">
      <c r="A272" s="46"/>
      <c r="B272" s="29"/>
      <c r="C272" s="29"/>
      <c r="D272" s="29"/>
      <c r="E272" s="29"/>
      <c r="F272" s="29"/>
      <c r="G272" s="29"/>
      <c r="H272" s="29"/>
      <c r="I272" s="891"/>
      <c r="J272" s="30"/>
      <c r="K272" s="892"/>
      <c r="L272" s="53"/>
      <c r="M272" s="897"/>
      <c r="N272" s="53"/>
      <c r="O272" s="53"/>
      <c r="P272" s="53"/>
      <c r="Q272" s="54"/>
      <c r="R272" s="228"/>
    </row>
    <row r="273" spans="1:18" ht="22.8">
      <c r="A273" s="265" t="s">
        <v>519</v>
      </c>
      <c r="B273" s="38" t="s">
        <v>496</v>
      </c>
      <c r="C273" s="29"/>
      <c r="D273" s="29"/>
      <c r="E273" s="29"/>
      <c r="F273" s="29"/>
      <c r="G273" s="29"/>
      <c r="H273" s="29"/>
      <c r="I273" s="890">
        <f>+(I137*1000)*I186</f>
        <v>483429.28333333338</v>
      </c>
      <c r="J273" s="30"/>
      <c r="K273" s="892">
        <f>+I273/$K$97</f>
        <v>674.23888888888894</v>
      </c>
      <c r="L273" s="53"/>
      <c r="M273" s="892">
        <f>+I273/($I$61*$K$97)</f>
        <v>16.855972222222224</v>
      </c>
      <c r="N273" s="53"/>
      <c r="O273" s="201">
        <f>+I273/$I$41</f>
        <v>0.69061326190476202</v>
      </c>
      <c r="P273" s="53"/>
      <c r="Q273" s="203">
        <f>+I273/($I$28*$I$41)</f>
        <v>2.357041849504307E-3</v>
      </c>
      <c r="R273" s="227"/>
    </row>
    <row r="274" spans="1:18" ht="22.8">
      <c r="A274" s="46"/>
      <c r="B274" s="29"/>
      <c r="C274" s="29"/>
      <c r="D274" s="29"/>
      <c r="E274" s="29"/>
      <c r="F274" s="29"/>
      <c r="G274" s="29"/>
      <c r="H274" s="29"/>
      <c r="I274" s="891"/>
      <c r="J274" s="30"/>
      <c r="K274" s="897"/>
      <c r="L274" s="53"/>
      <c r="M274" s="897"/>
      <c r="N274" s="53"/>
      <c r="O274" s="53"/>
      <c r="P274" s="53"/>
      <c r="Q274" s="54"/>
      <c r="R274" s="228"/>
    </row>
    <row r="275" spans="1:18" ht="22.8">
      <c r="A275" s="265" t="s">
        <v>520</v>
      </c>
      <c r="B275" s="38" t="s">
        <v>498</v>
      </c>
      <c r="C275" s="29"/>
      <c r="D275" s="29"/>
      <c r="E275" s="29"/>
      <c r="F275" s="29"/>
      <c r="G275" s="29"/>
      <c r="H275" s="29"/>
      <c r="I275" s="890">
        <f>+(I139*1000)*I188</f>
        <v>1137036.3402061858</v>
      </c>
      <c r="J275" s="30"/>
      <c r="K275" s="892">
        <f>+I275/$K$97</f>
        <v>1585.8247422680415</v>
      </c>
      <c r="L275" s="53"/>
      <c r="M275" s="892">
        <f>+I275/($I$61*$K$97)</f>
        <v>39.645618556701038</v>
      </c>
      <c r="N275" s="53"/>
      <c r="O275" s="201">
        <f>+I275/$I$41</f>
        <v>1.6243376288659797</v>
      </c>
      <c r="P275" s="53"/>
      <c r="Q275" s="203">
        <f>+I275/($I$28*$I$41)</f>
        <v>5.5438144329896921E-3</v>
      </c>
      <c r="R275" s="227"/>
    </row>
    <row r="276" spans="1:18" ht="22.8">
      <c r="A276" s="39"/>
      <c r="B276" s="29"/>
      <c r="C276" s="29"/>
      <c r="D276" s="29"/>
      <c r="E276" s="29"/>
      <c r="F276" s="29"/>
      <c r="G276" s="29"/>
      <c r="H276" s="29"/>
      <c r="I276" s="891"/>
      <c r="J276" s="30"/>
      <c r="K276" s="897"/>
      <c r="L276" s="53"/>
      <c r="M276" s="897"/>
      <c r="N276" s="53"/>
      <c r="O276" s="53"/>
      <c r="P276" s="53"/>
      <c r="Q276" s="90"/>
      <c r="R276" s="228"/>
    </row>
    <row r="277" spans="1:18" ht="22.8">
      <c r="A277" s="265" t="s">
        <v>521</v>
      </c>
      <c r="B277" s="38" t="s">
        <v>500</v>
      </c>
      <c r="C277" s="29"/>
      <c r="D277" s="29"/>
      <c r="E277" s="29"/>
      <c r="F277" s="29"/>
      <c r="G277" s="29"/>
      <c r="H277" s="29"/>
      <c r="I277" s="890">
        <f>+(I143*1000)*I190</f>
        <v>231005.63336841541</v>
      </c>
      <c r="J277" s="30"/>
      <c r="K277" s="892">
        <f>+I277/$K$97</f>
        <v>322.18358907728788</v>
      </c>
      <c r="L277" s="53"/>
      <c r="M277" s="892">
        <f>+I277/($I$61*$K$97)</f>
        <v>8.0545897269321962</v>
      </c>
      <c r="N277" s="53"/>
      <c r="O277" s="201">
        <f>+I277/$I$41</f>
        <v>0.33000804766916486</v>
      </c>
      <c r="P277" s="53"/>
      <c r="Q277" s="203">
        <f>+I277/($I$28*$I$41)</f>
        <v>1.1263073299288904E-3</v>
      </c>
      <c r="R277" s="227"/>
    </row>
    <row r="278" spans="1:18" ht="22.8">
      <c r="A278" s="266"/>
      <c r="B278" s="38"/>
      <c r="C278" s="29"/>
      <c r="D278" s="29"/>
      <c r="E278" s="29"/>
      <c r="F278" s="29"/>
      <c r="G278" s="29"/>
      <c r="H278" s="29"/>
      <c r="I278" s="891"/>
      <c r="J278" s="30"/>
      <c r="K278" s="892"/>
      <c r="L278" s="53"/>
      <c r="M278" s="897"/>
      <c r="N278" s="53"/>
      <c r="O278" s="53"/>
      <c r="P278" s="53"/>
      <c r="Q278" s="90"/>
      <c r="R278" s="228"/>
    </row>
    <row r="279" spans="1:18" ht="22.8">
      <c r="A279" s="265" t="s">
        <v>522</v>
      </c>
      <c r="B279" s="38" t="s">
        <v>502</v>
      </c>
      <c r="C279" s="29"/>
      <c r="D279" s="29"/>
      <c r="E279" s="29"/>
      <c r="F279" s="29"/>
      <c r="G279" s="29"/>
      <c r="H279" s="29"/>
      <c r="I279" s="890">
        <f>+K97*I61*I196</f>
        <v>0</v>
      </c>
      <c r="J279" s="30"/>
      <c r="K279" s="892">
        <f>+I279/$K$97</f>
        <v>0</v>
      </c>
      <c r="L279" s="53"/>
      <c r="M279" s="892">
        <f>+I279/($I$61*$K$97)</f>
        <v>0</v>
      </c>
      <c r="N279" s="53"/>
      <c r="O279" s="201">
        <f>+I279/$I$41</f>
        <v>0</v>
      </c>
      <c r="P279" s="53"/>
      <c r="Q279" s="203">
        <f>+I279/($I$28*$I$41)</f>
        <v>0</v>
      </c>
      <c r="R279" s="227"/>
    </row>
    <row r="280" spans="1:18" ht="22.8">
      <c r="A280" s="266"/>
      <c r="B280" s="38"/>
      <c r="C280" s="29"/>
      <c r="D280" s="29"/>
      <c r="E280" s="29"/>
      <c r="F280" s="29"/>
      <c r="G280" s="29"/>
      <c r="H280" s="29"/>
      <c r="I280" s="891"/>
      <c r="J280" s="30"/>
      <c r="K280" s="892"/>
      <c r="L280" s="53"/>
      <c r="M280" s="897"/>
      <c r="N280" s="53"/>
      <c r="O280" s="53"/>
      <c r="P280" s="53"/>
      <c r="Q280" s="54"/>
      <c r="R280" s="228"/>
    </row>
    <row r="281" spans="1:18" ht="22.8">
      <c r="A281" s="265" t="s">
        <v>523</v>
      </c>
      <c r="B281" s="38" t="s">
        <v>580</v>
      </c>
      <c r="C281" s="29"/>
      <c r="D281" s="29"/>
      <c r="E281" s="29"/>
      <c r="F281" s="29"/>
      <c r="G281" s="29"/>
      <c r="H281" s="29"/>
      <c r="I281" s="890"/>
      <c r="J281" s="30"/>
      <c r="K281" s="892"/>
      <c r="L281" s="53"/>
      <c r="M281" s="892"/>
      <c r="N281" s="53"/>
      <c r="O281" s="201"/>
      <c r="P281" s="53"/>
      <c r="Q281" s="203"/>
      <c r="R281" s="227"/>
    </row>
    <row r="282" spans="1:18" ht="22.8">
      <c r="A282" s="266"/>
      <c r="B282" s="38"/>
      <c r="C282" s="29"/>
      <c r="D282" s="29"/>
      <c r="E282" s="29"/>
      <c r="F282" s="29"/>
      <c r="G282" s="29"/>
      <c r="H282" s="29"/>
      <c r="I282" s="891"/>
      <c r="J282" s="30"/>
      <c r="K282" s="892"/>
      <c r="L282" s="53"/>
      <c r="M282" s="897"/>
      <c r="N282" s="53"/>
      <c r="O282" s="53"/>
      <c r="P282" s="53"/>
      <c r="Q282" s="54"/>
      <c r="R282" s="228"/>
    </row>
    <row r="283" spans="1:18" ht="22.8">
      <c r="A283" s="265" t="s">
        <v>524</v>
      </c>
      <c r="B283" s="38"/>
      <c r="C283" s="45" t="s">
        <v>110</v>
      </c>
      <c r="D283" s="29"/>
      <c r="E283" s="29"/>
      <c r="F283" s="29"/>
      <c r="G283" s="29"/>
      <c r="H283" s="29"/>
      <c r="I283" s="893">
        <f>SUM(I269:I281)</f>
        <v>3391829.0560956248</v>
      </c>
      <c r="J283" s="30"/>
      <c r="K283" s="893">
        <f>SUM(K269:K281)</f>
        <v>4730.5844575950141</v>
      </c>
      <c r="L283" s="53"/>
      <c r="M283" s="893">
        <f>SUM(M269:M281)</f>
        <v>118.26461143987534</v>
      </c>
      <c r="N283" s="53"/>
      <c r="O283" s="202">
        <f>SUM(O269:O281)</f>
        <v>4.8454700801366064</v>
      </c>
      <c r="P283" s="53"/>
      <c r="Q283" s="204">
        <f>SUM(Q269:Q281)</f>
        <v>1.6537440546541323E-2</v>
      </c>
      <c r="R283" s="229"/>
    </row>
    <row r="284" spans="1:18" ht="22.8">
      <c r="A284" s="266"/>
      <c r="B284" s="38"/>
      <c r="C284" s="29"/>
      <c r="D284" s="29"/>
      <c r="E284" s="29"/>
      <c r="F284" s="29"/>
      <c r="G284" s="29"/>
      <c r="H284" s="29"/>
      <c r="I284" s="891"/>
      <c r="J284" s="30"/>
      <c r="K284" s="892"/>
      <c r="L284" s="53"/>
      <c r="M284" s="897"/>
      <c r="N284" s="53"/>
      <c r="O284" s="53"/>
      <c r="P284" s="53"/>
      <c r="Q284" s="54"/>
      <c r="R284" s="228"/>
    </row>
    <row r="285" spans="1:18" ht="22.8">
      <c r="A285" s="266"/>
      <c r="B285" s="38"/>
      <c r="C285" s="29"/>
      <c r="D285" s="29"/>
      <c r="E285" s="29"/>
      <c r="F285" s="29"/>
      <c r="G285" s="29"/>
      <c r="H285" s="29"/>
      <c r="I285" s="891"/>
      <c r="J285" s="30"/>
      <c r="K285" s="892"/>
      <c r="L285" s="53"/>
      <c r="M285" s="897"/>
      <c r="N285" s="53"/>
      <c r="O285" s="53"/>
      <c r="P285" s="53"/>
      <c r="Q285" s="54"/>
      <c r="R285" s="228"/>
    </row>
    <row r="286" spans="1:18" ht="22.8">
      <c r="A286" s="273" t="s">
        <v>123</v>
      </c>
      <c r="B286" s="195" t="s">
        <v>124</v>
      </c>
      <c r="C286" s="29"/>
      <c r="D286" s="29"/>
      <c r="E286" s="29"/>
      <c r="F286" s="29"/>
      <c r="G286" s="29"/>
      <c r="H286" s="29"/>
      <c r="I286" s="891"/>
      <c r="J286" s="30"/>
      <c r="K286" s="892"/>
      <c r="L286" s="53"/>
      <c r="M286" s="897"/>
      <c r="N286" s="53"/>
      <c r="O286" s="53"/>
      <c r="P286" s="53"/>
      <c r="Q286" s="54"/>
      <c r="R286" s="228"/>
    </row>
    <row r="287" spans="1:18" ht="22.8">
      <c r="A287" s="266"/>
      <c r="B287" s="38"/>
      <c r="C287" s="29"/>
      <c r="D287" s="29"/>
      <c r="E287" s="29"/>
      <c r="F287" s="29"/>
      <c r="G287" s="29"/>
      <c r="H287" s="29"/>
      <c r="I287" s="891"/>
      <c r="J287" s="30"/>
      <c r="K287" s="892"/>
      <c r="L287" s="53"/>
      <c r="M287" s="897"/>
      <c r="N287" s="53"/>
      <c r="O287" s="53"/>
      <c r="P287" s="53"/>
      <c r="Q287" s="54"/>
      <c r="R287" s="228"/>
    </row>
    <row r="288" spans="1:18" ht="22.8">
      <c r="A288" s="265" t="s">
        <v>538</v>
      </c>
      <c r="B288" s="38" t="s">
        <v>511</v>
      </c>
      <c r="C288" s="29"/>
      <c r="D288" s="29"/>
      <c r="E288" s="29"/>
      <c r="F288" s="29"/>
      <c r="G288" s="29"/>
      <c r="H288" s="29"/>
      <c r="I288" s="890">
        <f>+I192*I156</f>
        <v>2332054.4000000004</v>
      </c>
      <c r="J288" s="30"/>
      <c r="K288" s="892">
        <f>+I288/$K$97</f>
        <v>3252.5165969316604</v>
      </c>
      <c r="L288" s="53"/>
      <c r="M288" s="892">
        <f>+I288/($I$61*$K$97)</f>
        <v>81.312914923291501</v>
      </c>
      <c r="N288" s="53"/>
      <c r="O288" s="201">
        <f>+I288/$I$41</f>
        <v>3.3315062857142861</v>
      </c>
      <c r="P288" s="53"/>
      <c r="Q288" s="203">
        <f>+I288/($I$28*$I$41)</f>
        <v>1.1370328620185277E-2</v>
      </c>
      <c r="R288" s="227"/>
    </row>
    <row r="289" spans="1:18" ht="22.8">
      <c r="A289" s="266"/>
      <c r="B289" s="38"/>
      <c r="C289" s="29"/>
      <c r="D289" s="29"/>
      <c r="E289" s="29"/>
      <c r="F289" s="29"/>
      <c r="G289" s="29"/>
      <c r="H289" s="29"/>
      <c r="I289" s="891"/>
      <c r="J289" s="30"/>
      <c r="K289" s="892"/>
      <c r="L289" s="53"/>
      <c r="M289" s="897"/>
      <c r="N289" s="53"/>
      <c r="O289" s="53"/>
      <c r="P289" s="53"/>
      <c r="Q289" s="54"/>
      <c r="R289" s="228"/>
    </row>
    <row r="290" spans="1:18" ht="22.8">
      <c r="A290" s="265" t="s">
        <v>539</v>
      </c>
      <c r="B290" s="38" t="s">
        <v>126</v>
      </c>
      <c r="C290" s="29"/>
      <c r="D290" s="29"/>
      <c r="E290" s="29"/>
      <c r="F290" s="29"/>
      <c r="G290" s="29"/>
      <c r="H290" s="29"/>
      <c r="I290" s="890">
        <f>+I28*I194</f>
        <v>871968</v>
      </c>
      <c r="J290" s="30"/>
      <c r="K290" s="892">
        <f>+I290/$K$97</f>
        <v>1216.1338912133892</v>
      </c>
      <c r="L290" s="53"/>
      <c r="M290" s="892">
        <f>+I290/($I$61*$K$97)</f>
        <v>30.403347280334728</v>
      </c>
      <c r="N290" s="53"/>
      <c r="O290" s="201">
        <f>+I290/$I$41</f>
        <v>1.2456685714285713</v>
      </c>
      <c r="P290" s="53"/>
      <c r="Q290" s="203">
        <f>+I290/($I$28*$I$41)</f>
        <v>4.2514285714285718E-3</v>
      </c>
      <c r="R290" s="227"/>
    </row>
    <row r="291" spans="1:18" ht="22.8">
      <c r="A291" s="266"/>
      <c r="B291" s="38"/>
      <c r="C291" s="29"/>
      <c r="D291" s="29"/>
      <c r="E291" s="29"/>
      <c r="F291" s="29"/>
      <c r="G291" s="29"/>
      <c r="H291" s="29"/>
      <c r="I291" s="891"/>
      <c r="J291" s="30"/>
      <c r="K291" s="892"/>
      <c r="L291" s="53"/>
      <c r="M291" s="897"/>
      <c r="N291" s="53"/>
      <c r="O291" s="53"/>
      <c r="P291" s="53"/>
      <c r="Q291" s="54"/>
      <c r="R291" s="228"/>
    </row>
    <row r="292" spans="1:18" ht="22.8">
      <c r="A292" s="265" t="s">
        <v>540</v>
      </c>
      <c r="B292" s="38" t="s">
        <v>127</v>
      </c>
      <c r="C292" s="29"/>
      <c r="D292" s="29"/>
      <c r="E292" s="29"/>
      <c r="F292" s="29"/>
      <c r="G292" s="29"/>
      <c r="H292" s="29"/>
      <c r="I292" s="890">
        <f>+I198</f>
        <v>0</v>
      </c>
      <c r="J292" s="30"/>
      <c r="K292" s="892">
        <f>+I292/$K$97</f>
        <v>0</v>
      </c>
      <c r="L292" s="53"/>
      <c r="M292" s="892">
        <f>+K292/$I$61</f>
        <v>0</v>
      </c>
      <c r="N292" s="53"/>
      <c r="O292" s="201">
        <f>+I292/$I$41</f>
        <v>0</v>
      </c>
      <c r="P292" s="53"/>
      <c r="Q292" s="203">
        <f>+I292/($I$28*$I$41)</f>
        <v>0</v>
      </c>
      <c r="R292" s="227"/>
    </row>
    <row r="293" spans="1:18" ht="22.8">
      <c r="A293" s="266"/>
      <c r="B293" s="38"/>
      <c r="C293" s="29"/>
      <c r="D293" s="29"/>
      <c r="E293" s="29"/>
      <c r="F293" s="29"/>
      <c r="G293" s="29"/>
      <c r="H293" s="29"/>
      <c r="I293" s="891"/>
      <c r="J293" s="30"/>
      <c r="K293" s="892"/>
      <c r="L293" s="53"/>
      <c r="M293" s="897"/>
      <c r="N293" s="53"/>
      <c r="O293" s="53"/>
      <c r="P293" s="53"/>
      <c r="Q293" s="54"/>
      <c r="R293" s="228"/>
    </row>
    <row r="294" spans="1:18" ht="22.8">
      <c r="A294" s="265" t="s">
        <v>128</v>
      </c>
      <c r="B294" s="38"/>
      <c r="C294" s="45" t="s">
        <v>130</v>
      </c>
      <c r="D294" s="29"/>
      <c r="E294" s="29"/>
      <c r="F294" s="29"/>
      <c r="G294" s="29"/>
      <c r="H294" s="29"/>
      <c r="I294" s="894">
        <f>SUM(I288:I292)</f>
        <v>3204022.4000000004</v>
      </c>
      <c r="J294" s="30"/>
      <c r="K294" s="894">
        <f>SUM(K288:K292)</f>
        <v>4468.6504881450492</v>
      </c>
      <c r="L294" s="53"/>
      <c r="M294" s="894">
        <f>SUM(M288:M292)</f>
        <v>111.71626220362623</v>
      </c>
      <c r="N294" s="53"/>
      <c r="O294" s="207">
        <f>SUM(O288:O292)</f>
        <v>4.5771748571428574</v>
      </c>
      <c r="P294" s="53"/>
      <c r="Q294" s="208">
        <f>SUM(Q288:Q292)</f>
        <v>1.562175719161385E-2</v>
      </c>
      <c r="R294" s="230"/>
    </row>
    <row r="295" spans="1:18" ht="22.8">
      <c r="A295" s="266"/>
      <c r="B295" s="38"/>
      <c r="C295" s="29"/>
      <c r="D295" s="29"/>
      <c r="E295" s="29"/>
      <c r="F295" s="29"/>
      <c r="G295" s="29"/>
      <c r="H295" s="29"/>
      <c r="I295" s="891"/>
      <c r="J295" s="30"/>
      <c r="K295" s="892"/>
      <c r="L295" s="53"/>
      <c r="M295" s="897"/>
      <c r="N295" s="53"/>
      <c r="O295" s="53"/>
      <c r="P295" s="53"/>
      <c r="Q295" s="54"/>
      <c r="R295" s="228"/>
    </row>
    <row r="296" spans="1:18" ht="22.8">
      <c r="A296" s="273" t="s">
        <v>129</v>
      </c>
      <c r="B296" s="210" t="s">
        <v>138</v>
      </c>
      <c r="C296" s="29"/>
      <c r="D296" s="29"/>
      <c r="E296" s="29"/>
      <c r="F296" s="29"/>
      <c r="G296" s="29"/>
      <c r="H296" s="29"/>
      <c r="I296" s="891"/>
      <c r="J296" s="30"/>
      <c r="K296" s="892"/>
      <c r="L296" s="53"/>
      <c r="M296" s="897"/>
      <c r="N296" s="53"/>
      <c r="O296" s="53"/>
      <c r="P296" s="53"/>
      <c r="Q296" s="54"/>
      <c r="R296" s="228"/>
    </row>
    <row r="297" spans="1:18" ht="23.4" thickBot="1">
      <c r="A297" s="266"/>
      <c r="B297" s="38"/>
      <c r="C297" s="29"/>
      <c r="D297" s="29"/>
      <c r="E297" s="29"/>
      <c r="F297" s="29"/>
      <c r="G297" s="29"/>
      <c r="H297" s="29"/>
      <c r="I297" s="891"/>
      <c r="J297" s="30"/>
      <c r="K297" s="892"/>
      <c r="L297" s="53"/>
      <c r="M297" s="897"/>
      <c r="N297" s="53"/>
      <c r="O297" s="53"/>
      <c r="P297" s="53"/>
      <c r="Q297" s="54"/>
      <c r="R297" s="228"/>
    </row>
    <row r="298" spans="1:18" ht="24" thickTop="1" thickBot="1">
      <c r="A298" s="265" t="s">
        <v>132</v>
      </c>
      <c r="B298" s="38" t="s">
        <v>139</v>
      </c>
      <c r="C298" s="29"/>
      <c r="D298" s="29"/>
      <c r="E298" s="29"/>
      <c r="F298" s="29"/>
      <c r="G298" s="1163">
        <v>0.3</v>
      </c>
      <c r="H298" s="219" t="s">
        <v>140</v>
      </c>
      <c r="I298" s="890">
        <f>+(I283+I294)*G298</f>
        <v>1978755.4368286873</v>
      </c>
      <c r="J298" s="30"/>
      <c r="K298" s="892">
        <f>+I298/$K$97</f>
        <v>2759.7704837220185</v>
      </c>
      <c r="L298" s="53"/>
      <c r="M298" s="892">
        <f>+I298/($I$61*$K$97)</f>
        <v>68.994262093050466</v>
      </c>
      <c r="N298" s="53"/>
      <c r="O298" s="201">
        <f>+I298/$I$41</f>
        <v>2.8267934811838389</v>
      </c>
      <c r="P298" s="53"/>
      <c r="Q298" s="203">
        <f>+I298/($I$28*$I$41)</f>
        <v>9.6477593214465487E-3</v>
      </c>
      <c r="R298" s="227"/>
    </row>
    <row r="299" spans="1:18" ht="23.4" thickTop="1">
      <c r="A299" s="266"/>
      <c r="B299" s="38"/>
      <c r="C299" s="29"/>
      <c r="D299" s="29"/>
      <c r="E299" s="29"/>
      <c r="F299" s="29"/>
      <c r="G299" s="29"/>
      <c r="H299" s="29"/>
      <c r="I299" s="891"/>
      <c r="J299" s="30"/>
      <c r="K299" s="892"/>
      <c r="L299" s="53"/>
      <c r="M299" s="897"/>
      <c r="N299" s="53"/>
      <c r="O299" s="53"/>
      <c r="P299" s="53"/>
      <c r="Q299" s="54"/>
      <c r="R299" s="228"/>
    </row>
    <row r="300" spans="1:18" ht="22.8">
      <c r="A300" s="265" t="s">
        <v>134</v>
      </c>
      <c r="B300" s="38" t="s">
        <v>141</v>
      </c>
      <c r="C300" s="29"/>
      <c r="D300" s="29"/>
      <c r="E300" s="29"/>
      <c r="F300" s="29"/>
      <c r="G300" s="93"/>
      <c r="H300" s="87"/>
      <c r="I300" s="890">
        <f>sysdata!D240*1000000</f>
        <v>35856.896126326181</v>
      </c>
      <c r="J300" s="30"/>
      <c r="K300" s="892">
        <f>+I300/$K$97</f>
        <v>50.009618028348925</v>
      </c>
      <c r="L300" s="53"/>
      <c r="M300" s="892">
        <f>+I300/($I$61*$K$97)</f>
        <v>1.2502404507087232</v>
      </c>
      <c r="N300" s="53"/>
      <c r="O300" s="201">
        <f>+I300/$I$41</f>
        <v>5.1224137323323114E-2</v>
      </c>
      <c r="P300" s="53"/>
      <c r="Q300" s="203">
        <f>+I300/($I$28*$I$41)</f>
        <v>1.7482640724683656E-4</v>
      </c>
      <c r="R300" s="227"/>
    </row>
    <row r="301" spans="1:18" ht="22.8">
      <c r="A301" s="266"/>
      <c r="B301" s="38"/>
      <c r="C301" s="29"/>
      <c r="D301" s="29"/>
      <c r="E301" s="29"/>
      <c r="F301" s="29"/>
      <c r="G301" s="29"/>
      <c r="H301" s="87"/>
      <c r="I301" s="891"/>
      <c r="J301" s="30"/>
      <c r="K301" s="892"/>
      <c r="L301" s="53"/>
      <c r="M301" s="897"/>
      <c r="N301" s="53"/>
      <c r="O301" s="53"/>
      <c r="P301" s="53"/>
      <c r="Q301" s="54"/>
      <c r="R301" s="228"/>
    </row>
    <row r="302" spans="1:18" ht="22.8">
      <c r="A302" s="265" t="s">
        <v>135</v>
      </c>
      <c r="B302" s="38"/>
      <c r="C302" s="45" t="s">
        <v>143</v>
      </c>
      <c r="D302" s="29"/>
      <c r="E302" s="29"/>
      <c r="F302" s="29"/>
      <c r="G302" s="29"/>
      <c r="H302" s="87"/>
      <c r="I302" s="894">
        <f>SUM(I298:I300)</f>
        <v>2014612.3329550135</v>
      </c>
      <c r="J302" s="30"/>
      <c r="K302" s="894">
        <f>SUM(K298:K300)</f>
        <v>2809.7801017503675</v>
      </c>
      <c r="L302" s="53"/>
      <c r="M302" s="894">
        <f>SUM(M298:M300)</f>
        <v>70.244502543759182</v>
      </c>
      <c r="N302" s="53"/>
      <c r="O302" s="207">
        <f>SUM(O298:O300)</f>
        <v>2.8780176185071622</v>
      </c>
      <c r="P302" s="53"/>
      <c r="Q302" s="208">
        <f>SUM(Q298:Q300)</f>
        <v>9.8225857286933851E-3</v>
      </c>
      <c r="R302" s="230"/>
    </row>
    <row r="303" spans="1:18" ht="22.8">
      <c r="A303" s="266"/>
      <c r="B303" s="38"/>
      <c r="C303" s="29"/>
      <c r="D303" s="29"/>
      <c r="E303" s="29"/>
      <c r="F303" s="29"/>
      <c r="G303" s="29"/>
      <c r="H303" s="29"/>
      <c r="I303" s="891"/>
      <c r="J303" s="30"/>
      <c r="K303" s="892"/>
      <c r="L303" s="53"/>
      <c r="M303" s="897"/>
      <c r="N303" s="53"/>
      <c r="O303" s="53"/>
      <c r="P303" s="53"/>
      <c r="Q303" s="54"/>
      <c r="R303" s="228"/>
    </row>
    <row r="304" spans="1:18" ht="22.8">
      <c r="A304" s="273" t="s">
        <v>142</v>
      </c>
      <c r="B304" s="210" t="s">
        <v>531</v>
      </c>
      <c r="C304" s="29"/>
      <c r="D304" s="29"/>
      <c r="E304" s="29"/>
      <c r="F304" s="29"/>
      <c r="G304" s="29"/>
      <c r="H304" s="29"/>
      <c r="I304" s="891"/>
      <c r="J304" s="30"/>
      <c r="K304" s="892"/>
      <c r="L304" s="53"/>
      <c r="M304" s="897"/>
      <c r="N304" s="53"/>
      <c r="O304" s="53"/>
      <c r="P304" s="53"/>
      <c r="Q304" s="54"/>
      <c r="R304" s="228"/>
    </row>
    <row r="305" spans="1:18" ht="22.8">
      <c r="A305" s="266"/>
      <c r="B305" s="38"/>
      <c r="C305" s="29"/>
      <c r="D305" s="29"/>
      <c r="E305" s="29"/>
      <c r="F305" s="29"/>
      <c r="G305" s="29"/>
      <c r="H305" s="29"/>
      <c r="I305" s="891"/>
      <c r="J305" s="30"/>
      <c r="K305" s="892"/>
      <c r="L305" s="53"/>
      <c r="M305" s="897"/>
      <c r="N305" s="53"/>
      <c r="O305" s="53"/>
      <c r="P305" s="53"/>
      <c r="Q305" s="54"/>
      <c r="R305" s="228"/>
    </row>
    <row r="306" spans="1:18" ht="22.8">
      <c r="A306" s="265" t="s">
        <v>136</v>
      </c>
      <c r="B306" s="211" t="s">
        <v>508</v>
      </c>
      <c r="C306" s="30"/>
      <c r="D306" s="29"/>
      <c r="E306" s="29"/>
      <c r="F306" s="29"/>
      <c r="G306" s="29"/>
      <c r="H306" s="29"/>
      <c r="I306" s="891"/>
      <c r="J306" s="30"/>
      <c r="K306" s="892"/>
      <c r="L306" s="53"/>
      <c r="M306" s="897"/>
      <c r="N306" s="53"/>
      <c r="O306" s="343"/>
      <c r="P306" s="343"/>
      <c r="Q306" s="54"/>
      <c r="R306" s="228"/>
    </row>
    <row r="307" spans="1:18" ht="22.8">
      <c r="A307" s="265"/>
      <c r="B307" s="94"/>
      <c r="C307" s="30"/>
      <c r="D307" s="29"/>
      <c r="E307" s="29"/>
      <c r="F307" s="29"/>
      <c r="G307" s="29"/>
      <c r="H307" s="29"/>
      <c r="I307" s="891"/>
      <c r="J307" s="30"/>
      <c r="K307" s="892"/>
      <c r="L307" s="53"/>
      <c r="M307" s="897"/>
      <c r="N307" s="53"/>
      <c r="O307" s="53"/>
      <c r="P307" s="53"/>
      <c r="Q307" s="54"/>
      <c r="R307" s="228"/>
    </row>
    <row r="308" spans="1:18" ht="22.8">
      <c r="A308" s="265" t="s">
        <v>253</v>
      </c>
      <c r="B308" s="38" t="s">
        <v>89</v>
      </c>
      <c r="C308" s="38"/>
      <c r="D308" s="29"/>
      <c r="E308" s="29"/>
      <c r="F308" s="29"/>
      <c r="G308" s="29"/>
      <c r="H308" s="29"/>
      <c r="I308" s="890">
        <f>+((I215*(1-I219))/I217)*(1+I221)</f>
        <v>3781972.0148257557</v>
      </c>
      <c r="J308" s="30"/>
      <c r="K308" s="892">
        <f>+I308/$K$97</f>
        <v>5274.716896549171</v>
      </c>
      <c r="L308" s="53"/>
      <c r="M308" s="892">
        <f>+I308/($I$61*$K$97)</f>
        <v>131.86792241372927</v>
      </c>
      <c r="N308" s="53"/>
      <c r="O308" s="201">
        <f>+I308/$I$41</f>
        <v>5.4028171640367937</v>
      </c>
      <c r="P308" s="53"/>
      <c r="Q308" s="203">
        <f>+I308/($I$28*$I$41)</f>
        <v>1.8439649024016361E-2</v>
      </c>
      <c r="R308" s="227"/>
    </row>
    <row r="309" spans="1:18" ht="22.8">
      <c r="A309" s="265"/>
      <c r="B309" s="38"/>
      <c r="C309" s="38"/>
      <c r="D309" s="29"/>
      <c r="E309" s="29"/>
      <c r="F309" s="29"/>
      <c r="G309" s="29"/>
      <c r="H309" s="29"/>
      <c r="I309" s="890"/>
      <c r="J309" s="30"/>
      <c r="K309" s="892"/>
      <c r="L309" s="53"/>
      <c r="M309" s="892"/>
      <c r="N309" s="53"/>
      <c r="O309" s="36"/>
      <c r="P309" s="53"/>
      <c r="Q309" s="203"/>
      <c r="R309" s="227"/>
    </row>
    <row r="310" spans="1:18" ht="22.8">
      <c r="A310" s="265" t="s">
        <v>254</v>
      </c>
      <c r="B310" s="38" t="s">
        <v>131</v>
      </c>
      <c r="C310" s="38"/>
      <c r="D310" s="29"/>
      <c r="E310" s="29"/>
      <c r="F310" s="29"/>
      <c r="G310" s="29"/>
      <c r="H310" s="29"/>
      <c r="I310" s="890">
        <f>+(I227*(1-I231))/I229</f>
        <v>129039.72232934824</v>
      </c>
      <c r="J310" s="30"/>
      <c r="K310" s="892">
        <f>+I310/$K$97</f>
        <v>179.97171872991387</v>
      </c>
      <c r="L310" s="53"/>
      <c r="M310" s="892">
        <f>+I310/($I$61*$K$97)</f>
        <v>4.4992929682478469</v>
      </c>
      <c r="N310" s="53"/>
      <c r="O310" s="201">
        <f>+I310/$I$41</f>
        <v>0.18434246047049749</v>
      </c>
      <c r="P310" s="53"/>
      <c r="Q310" s="203">
        <f>+I310/($I$28*$I$41)</f>
        <v>6.2915515518941118E-4</v>
      </c>
      <c r="R310" s="227"/>
    </row>
    <row r="311" spans="1:18" ht="22.8">
      <c r="A311" s="265"/>
      <c r="B311" s="38"/>
      <c r="C311" s="38"/>
      <c r="D311" s="29"/>
      <c r="E311" s="29"/>
      <c r="F311" s="29"/>
      <c r="G311" s="29"/>
      <c r="H311" s="29"/>
      <c r="I311" s="890"/>
      <c r="J311" s="30"/>
      <c r="K311" s="892"/>
      <c r="L311" s="53"/>
      <c r="M311" s="892"/>
      <c r="N311" s="53"/>
      <c r="O311" s="36"/>
      <c r="P311" s="53"/>
      <c r="Q311" s="96"/>
      <c r="R311" s="227"/>
    </row>
    <row r="312" spans="1:18" ht="22.8">
      <c r="A312" s="265" t="s">
        <v>255</v>
      </c>
      <c r="B312" s="209" t="s">
        <v>133</v>
      </c>
      <c r="C312" s="38"/>
      <c r="D312" s="29"/>
      <c r="E312" s="29"/>
      <c r="F312" s="29"/>
      <c r="G312" s="29"/>
      <c r="H312" s="29"/>
      <c r="I312" s="895">
        <f>SUM(I308:I310)</f>
        <v>3911011.7371551041</v>
      </c>
      <c r="J312" s="30"/>
      <c r="K312" s="895">
        <f>SUM(K308:K310)</f>
        <v>5454.6886152790848</v>
      </c>
      <c r="L312" s="53"/>
      <c r="M312" s="892">
        <f>+I312/($I$61*$K$97)</f>
        <v>136.36721538197713</v>
      </c>
      <c r="N312" s="53"/>
      <c r="O312" s="201">
        <f>+I312/$I$41</f>
        <v>5.5871596245072919</v>
      </c>
      <c r="P312" s="53"/>
      <c r="Q312" s="203">
        <f>+I312/($I$28*$I$41)</f>
        <v>1.9068804179205773E-2</v>
      </c>
      <c r="R312" s="231"/>
    </row>
    <row r="313" spans="1:18" ht="22.8">
      <c r="A313" s="266"/>
      <c r="B313" s="38"/>
      <c r="C313" s="29"/>
      <c r="D313" s="29"/>
      <c r="E313" s="29"/>
      <c r="F313" s="29"/>
      <c r="G313" s="29"/>
      <c r="H313" s="29"/>
      <c r="I313" s="891"/>
      <c r="J313" s="30"/>
      <c r="K313" s="892"/>
      <c r="L313" s="53"/>
      <c r="M313" s="897"/>
      <c r="N313" s="53"/>
      <c r="O313" s="53"/>
      <c r="P313" s="53"/>
      <c r="Q313" s="54"/>
      <c r="R313" s="232"/>
    </row>
    <row r="314" spans="1:18" ht="22.8">
      <c r="A314" s="265" t="s">
        <v>151</v>
      </c>
      <c r="B314" s="211" t="s">
        <v>189</v>
      </c>
      <c r="C314" s="29"/>
      <c r="D314" s="29"/>
      <c r="E314" s="29"/>
      <c r="F314" s="29"/>
      <c r="G314" s="29"/>
      <c r="H314" s="29"/>
      <c r="I314" s="895">
        <f>+((K125*(I237*(1-I241))/I239))*(1+I243)</f>
        <v>385200</v>
      </c>
      <c r="J314" s="196"/>
      <c r="K314" s="898">
        <f>+I314/$K$97</f>
        <v>537.23849372384939</v>
      </c>
      <c r="L314" s="216"/>
      <c r="M314" s="892">
        <f>+I314/($I$61*$K$97)</f>
        <v>13.430962343096235</v>
      </c>
      <c r="N314" s="216"/>
      <c r="O314" s="201">
        <f>+I314/$I$41</f>
        <v>0.55028571428571427</v>
      </c>
      <c r="P314" s="216"/>
      <c r="Q314" s="203">
        <f>+I314/($I$28*$I$41)</f>
        <v>1.878108239882984E-3</v>
      </c>
      <c r="R314" s="233"/>
    </row>
    <row r="315" spans="1:18" ht="22.8">
      <c r="A315" s="265"/>
      <c r="B315" s="211"/>
      <c r="C315" s="29"/>
      <c r="D315" s="29"/>
      <c r="E315" s="29"/>
      <c r="F315" s="29"/>
      <c r="G315" s="29"/>
      <c r="H315" s="29"/>
      <c r="I315" s="891"/>
      <c r="J315" s="30"/>
      <c r="K315" s="899"/>
      <c r="L315" s="53"/>
      <c r="M315" s="899"/>
      <c r="N315" s="53"/>
      <c r="O315" s="36"/>
      <c r="P315" s="53"/>
      <c r="Q315" s="36"/>
      <c r="R315" s="234"/>
    </row>
    <row r="316" spans="1:18" ht="22.8">
      <c r="A316" s="265" t="s">
        <v>152</v>
      </c>
      <c r="B316" s="211" t="s">
        <v>188</v>
      </c>
      <c r="C316" s="29"/>
      <c r="D316" s="29"/>
      <c r="E316" s="29"/>
      <c r="F316" s="29"/>
      <c r="G316" s="29"/>
      <c r="H316" s="29"/>
      <c r="I316" s="890">
        <f>+((I127*(I245*(1-I249))/I247))*(1+I251)</f>
        <v>0</v>
      </c>
      <c r="J316" s="30"/>
      <c r="K316" s="898">
        <f>+I316/$K$97</f>
        <v>0</v>
      </c>
      <c r="L316" s="216"/>
      <c r="M316" s="892">
        <f>+I316/($I$61*$K$97)</f>
        <v>0</v>
      </c>
      <c r="N316" s="216"/>
      <c r="O316" s="201">
        <f>+I316/$I$41</f>
        <v>0</v>
      </c>
      <c r="P316" s="216"/>
      <c r="Q316" s="203">
        <f>+I316/($I$28*$I$41)</f>
        <v>0</v>
      </c>
      <c r="R316" s="233"/>
    </row>
    <row r="317" spans="1:18" ht="22.8">
      <c r="A317" s="265"/>
      <c r="B317" s="211"/>
      <c r="C317" s="29"/>
      <c r="D317" s="29"/>
      <c r="E317" s="29"/>
      <c r="F317" s="29"/>
      <c r="G317" s="29"/>
      <c r="H317" s="29"/>
      <c r="I317" s="891"/>
      <c r="J317" s="30"/>
      <c r="K317" s="899"/>
      <c r="L317" s="53"/>
      <c r="M317" s="899"/>
      <c r="N317" s="53"/>
      <c r="O317" s="36"/>
      <c r="P317" s="53"/>
      <c r="Q317" s="36"/>
      <c r="R317" s="234"/>
    </row>
    <row r="318" spans="1:18" ht="22.8">
      <c r="A318" s="265" t="s">
        <v>181</v>
      </c>
      <c r="B318" s="211" t="s">
        <v>506</v>
      </c>
      <c r="C318" s="29"/>
      <c r="D318" s="29"/>
      <c r="E318" s="29"/>
      <c r="F318" s="29"/>
      <c r="G318" s="29"/>
      <c r="H318" s="29"/>
      <c r="I318" s="895">
        <f>+((K133*(I255*(1-I259))/I257))*(1+I261)</f>
        <v>555121.35</v>
      </c>
      <c r="J318" s="30"/>
      <c r="K318" s="898">
        <f>+I318/$K$97</f>
        <v>774.22782426778235</v>
      </c>
      <c r="L318" s="53"/>
      <c r="M318" s="892">
        <f>+I318/($I$61*$K$97)</f>
        <v>19.35569560669456</v>
      </c>
      <c r="N318" s="53"/>
      <c r="O318" s="201">
        <f>+I318/$I$41</f>
        <v>0.79303049999999997</v>
      </c>
      <c r="P318" s="53"/>
      <c r="Q318" s="203">
        <f>+I318/($I$28*$I$41)</f>
        <v>2.7065887372013653E-3</v>
      </c>
      <c r="R318" s="233"/>
    </row>
    <row r="319" spans="1:18" ht="22.8">
      <c r="A319" s="46"/>
      <c r="B319" s="29"/>
      <c r="C319" s="29"/>
      <c r="D319" s="29"/>
      <c r="E319" s="29"/>
      <c r="F319" s="29"/>
      <c r="G319" s="29"/>
      <c r="H319" s="29"/>
      <c r="I319" s="891"/>
      <c r="J319" s="30"/>
      <c r="K319" s="897"/>
      <c r="L319" s="53"/>
      <c r="M319" s="897"/>
      <c r="N319" s="53"/>
      <c r="O319" s="53"/>
      <c r="P319" s="53"/>
      <c r="Q319" s="54"/>
      <c r="R319" s="232"/>
    </row>
    <row r="320" spans="1:18" ht="22.8">
      <c r="A320" s="265" t="s">
        <v>256</v>
      </c>
      <c r="B320" s="29"/>
      <c r="C320" s="45" t="s">
        <v>137</v>
      </c>
      <c r="D320" s="29"/>
      <c r="E320" s="29"/>
      <c r="F320" s="29"/>
      <c r="G320" s="29"/>
      <c r="H320" s="29"/>
      <c r="I320" s="894">
        <f>+I312+I314+I316+I318</f>
        <v>4851333.0871551037</v>
      </c>
      <c r="J320" s="30"/>
      <c r="K320" s="894">
        <f>+K312+K314+K316+K318</f>
        <v>6766.1549332707164</v>
      </c>
      <c r="L320" s="53"/>
      <c r="M320" s="894">
        <f>+M312+M314+M316+M318</f>
        <v>169.15387333176793</v>
      </c>
      <c r="N320" s="53"/>
      <c r="O320" s="207">
        <f>+O312+O314+O316+O318</f>
        <v>6.9304758387930061</v>
      </c>
      <c r="P320" s="53"/>
      <c r="Q320" s="208">
        <f>+Q312+Q314+Q316+Q318</f>
        <v>2.3653501156290124E-2</v>
      </c>
      <c r="R320" s="230"/>
    </row>
    <row r="321" spans="1:21" ht="17.399999999999999">
      <c r="A321" s="274"/>
      <c r="B321" s="55"/>
      <c r="C321" s="56"/>
      <c r="D321" s="56"/>
      <c r="E321" s="56"/>
      <c r="F321" s="56"/>
      <c r="G321" s="56"/>
      <c r="H321" s="56"/>
      <c r="I321" s="891"/>
      <c r="J321" s="30"/>
      <c r="K321" s="900"/>
      <c r="L321" s="56"/>
      <c r="M321" s="900"/>
      <c r="N321" s="56"/>
      <c r="O321" s="57"/>
      <c r="P321" s="57"/>
      <c r="Q321" s="56"/>
      <c r="R321" s="235"/>
    </row>
    <row r="322" spans="1:21" ht="24.6">
      <c r="A322" s="275" t="s">
        <v>257</v>
      </c>
      <c r="B322" s="55"/>
      <c r="C322" s="56"/>
      <c r="D322" s="56"/>
      <c r="E322" s="56"/>
      <c r="F322" s="56"/>
      <c r="G322" s="56"/>
      <c r="H322" s="56"/>
      <c r="I322" s="896">
        <f>+I320+I302+I294+I283</f>
        <v>13461796.876205742</v>
      </c>
      <c r="J322" s="30"/>
      <c r="K322" s="896">
        <f>+K320+K302+K294+K283</f>
        <v>18775.169980761148</v>
      </c>
      <c r="L322" s="56"/>
      <c r="M322" s="896">
        <f>+M320+M302+M294+M283</f>
        <v>469.37924951902869</v>
      </c>
      <c r="N322" s="56"/>
      <c r="O322" s="222">
        <f>+O320+O302+O294+O283</f>
        <v>19.231138394579631</v>
      </c>
      <c r="P322" s="57"/>
      <c r="Q322" s="223">
        <f>+Q320+Q302+Q294+Q283</f>
        <v>6.5635284623138682E-2</v>
      </c>
      <c r="R322" s="236"/>
    </row>
    <row r="323" spans="1:21" ht="25.2" thickBot="1">
      <c r="A323" s="275"/>
      <c r="B323" s="55"/>
      <c r="C323" s="56"/>
      <c r="D323" s="56"/>
      <c r="E323" s="56"/>
      <c r="F323" s="56"/>
      <c r="G323" s="56"/>
      <c r="H323" s="56"/>
      <c r="I323" s="896"/>
      <c r="J323" s="30"/>
      <c r="K323" s="896"/>
      <c r="L323" s="56"/>
      <c r="M323" s="896"/>
      <c r="N323" s="56"/>
      <c r="O323" s="222"/>
      <c r="P323" s="57"/>
      <c r="Q323" s="223"/>
      <c r="R323" s="236"/>
    </row>
    <row r="324" spans="1:21" ht="25.8" thickTop="1" thickBot="1">
      <c r="A324" s="428" t="s">
        <v>914</v>
      </c>
      <c r="B324" s="429"/>
      <c r="C324" s="430"/>
      <c r="D324" s="430"/>
      <c r="E324" s="430"/>
      <c r="F324" s="430"/>
      <c r="G324" s="430"/>
      <c r="H324" s="430"/>
      <c r="I324" s="938">
        <f>+I283+I294+I302</f>
        <v>8610463.7890506387</v>
      </c>
      <c r="J324" s="418"/>
      <c r="K324" s="938">
        <f>+K283+K294+K302</f>
        <v>12009.015047490431</v>
      </c>
      <c r="L324" s="440"/>
      <c r="M324" s="938">
        <f>+M283+M294+M302</f>
        <v>300.22537618726074</v>
      </c>
      <c r="N324" s="441"/>
      <c r="O324" s="1018">
        <f>+O283+O294+O302</f>
        <v>12.300662555786626</v>
      </c>
      <c r="P324" s="442"/>
      <c r="Q324" s="1019">
        <f>+Q283+Q294+Q302</f>
        <v>4.1981783466848561E-2</v>
      </c>
      <c r="R324" s="443"/>
    </row>
    <row r="325" spans="1:21" ht="16.2" thickTop="1" thickBot="1">
      <c r="A325" s="291"/>
      <c r="B325" s="253"/>
      <c r="C325" s="253"/>
      <c r="D325" s="253"/>
      <c r="E325" s="253"/>
      <c r="F325" s="253"/>
      <c r="G325" s="253"/>
      <c r="H325" s="253"/>
      <c r="I325" s="252"/>
      <c r="J325" s="253"/>
      <c r="K325" s="1011"/>
      <c r="L325" s="253"/>
      <c r="M325" s="1011"/>
      <c r="N325" s="253"/>
      <c r="O325" s="253"/>
      <c r="P325" s="253"/>
      <c r="Q325" s="296"/>
      <c r="R325" s="1023"/>
    </row>
    <row r="326" spans="1:21" ht="25.8" thickTop="1" thickBot="1">
      <c r="A326" s="732" t="s">
        <v>915</v>
      </c>
      <c r="B326" s="733"/>
      <c r="C326" s="734"/>
      <c r="D326" s="734"/>
      <c r="E326" s="734"/>
      <c r="F326" s="734"/>
      <c r="G326" s="734"/>
      <c r="H326" s="734"/>
      <c r="I326" s="940">
        <f>+I324+I314+I316+I318</f>
        <v>9550785.1390506383</v>
      </c>
      <c r="J326" s="735"/>
      <c r="K326" s="940">
        <f>+K324+K314+K316+K318</f>
        <v>13320.481365482063</v>
      </c>
      <c r="L326" s="737"/>
      <c r="M326" s="940">
        <f>+M324+M314+M316+M318</f>
        <v>333.0120341370515</v>
      </c>
      <c r="N326" s="734"/>
      <c r="O326" s="1020">
        <f>+O324+O314+O316+O318</f>
        <v>13.643978770072341</v>
      </c>
      <c r="P326" s="735"/>
      <c r="Q326" s="1021">
        <f>+Q324+Q314+Q316+Q318</f>
        <v>4.6566480443932912E-2</v>
      </c>
      <c r="R326" s="969"/>
      <c r="S326" s="963"/>
      <c r="T326" s="964"/>
      <c r="U326" s="965"/>
    </row>
    <row r="327" spans="1:21" ht="25.8" thickTop="1" thickBot="1">
      <c r="A327" s="712"/>
      <c r="B327" s="713"/>
      <c r="C327" s="714"/>
      <c r="D327" s="714"/>
      <c r="E327" s="714"/>
      <c r="F327" s="714"/>
      <c r="G327" s="714"/>
      <c r="H327" s="714"/>
      <c r="I327" s="939"/>
      <c r="J327" s="715"/>
      <c r="K327" s="444"/>
      <c r="L327" s="714"/>
      <c r="M327" s="444"/>
      <c r="N327" s="714"/>
      <c r="O327" s="716"/>
      <c r="P327" s="715"/>
      <c r="Q327" s="717"/>
      <c r="R327" s="970"/>
      <c r="S327" s="716"/>
      <c r="T327" s="445"/>
      <c r="U327" s="446"/>
    </row>
    <row r="328" spans="1:21" ht="25.8" thickTop="1" thickBot="1">
      <c r="A328" s="742" t="s">
        <v>916</v>
      </c>
      <c r="B328" s="743"/>
      <c r="C328" s="744"/>
      <c r="D328" s="744"/>
      <c r="E328" s="744"/>
      <c r="F328" s="744"/>
      <c r="G328" s="744"/>
      <c r="H328" s="744"/>
      <c r="I328" s="941">
        <f>+I326+I312</f>
        <v>13461796.876205742</v>
      </c>
      <c r="J328" s="745"/>
      <c r="K328" s="941">
        <f>+K326+K312</f>
        <v>18775.169980761148</v>
      </c>
      <c r="L328" s="747"/>
      <c r="M328" s="941">
        <f>+M326+M312</f>
        <v>469.37924951902863</v>
      </c>
      <c r="N328" s="744"/>
      <c r="O328" s="941">
        <f>+O326+O312</f>
        <v>19.231138394579631</v>
      </c>
      <c r="P328" s="745"/>
      <c r="Q328" s="1022">
        <f>+Q326+Q312</f>
        <v>6.5635284623138682E-2</v>
      </c>
      <c r="R328" s="971"/>
      <c r="S328" s="966"/>
      <c r="T328" s="967"/>
      <c r="U328" s="968"/>
    </row>
    <row r="329" spans="1:21" ht="15.6" thickTop="1">
      <c r="A329" s="276"/>
      <c r="B329" s="1015"/>
      <c r="C329" s="1015"/>
      <c r="D329" s="1015"/>
      <c r="E329" s="1015"/>
      <c r="F329" s="1015"/>
      <c r="G329" s="1015"/>
      <c r="H329" s="1015"/>
      <c r="I329" s="1016"/>
      <c r="J329" s="1015"/>
      <c r="K329" s="1017"/>
      <c r="L329" s="1015"/>
      <c r="M329" s="1017"/>
      <c r="N329" s="1015"/>
      <c r="O329" s="1015"/>
      <c r="P329" s="1015"/>
      <c r="Q329" s="237"/>
      <c r="R329" s="225"/>
    </row>
    <row r="330" spans="1:21" ht="15.6" thickBot="1">
      <c r="A330" s="276"/>
      <c r="B330" s="1015"/>
      <c r="C330" s="1015"/>
      <c r="D330" s="1015"/>
      <c r="E330" s="1015"/>
      <c r="F330" s="1015"/>
      <c r="G330" s="1015"/>
      <c r="H330" s="1015"/>
      <c r="I330" s="1016"/>
      <c r="J330" s="1015"/>
      <c r="K330" s="1017"/>
      <c r="L330" s="1015"/>
      <c r="M330" s="1017"/>
      <c r="N330" s="1015"/>
      <c r="O330" s="1015"/>
      <c r="P330" s="1015"/>
      <c r="Q330" s="237"/>
      <c r="R330" s="225"/>
    </row>
    <row r="331" spans="1:21" ht="24" thickTop="1" thickBot="1">
      <c r="A331" s="1153" t="str">
        <f>+A3</f>
        <v>RAILWAY BULK FREIGHT TRAFFIC COSTING SUB-MODEL</v>
      </c>
      <c r="B331" s="1154"/>
      <c r="C331" s="1154"/>
      <c r="D331" s="1154"/>
      <c r="E331" s="1154"/>
      <c r="F331" s="1154"/>
      <c r="G331" s="1154"/>
      <c r="H331" s="1154"/>
      <c r="I331" s="1155"/>
      <c r="J331" s="1156"/>
      <c r="K331" s="1184"/>
      <c r="L331" s="1157"/>
      <c r="M331" s="1184"/>
      <c r="N331" s="1157"/>
      <c r="O331" s="1157"/>
      <c r="P331" s="1157"/>
      <c r="Q331" s="1157"/>
      <c r="R331" s="1158"/>
    </row>
    <row r="332" spans="1:21" ht="15.6" thickTop="1">
      <c r="A332" s="276"/>
      <c r="B332" s="30"/>
      <c r="C332" s="30"/>
      <c r="D332" s="30"/>
      <c r="E332" s="30"/>
      <c r="F332" s="30"/>
      <c r="G332" s="30"/>
      <c r="H332" s="30"/>
      <c r="I332" s="199"/>
      <c r="J332" s="30"/>
      <c r="K332" s="899"/>
      <c r="L332" s="30"/>
      <c r="M332" s="899"/>
      <c r="N332" s="30"/>
      <c r="O332" s="30"/>
      <c r="P332" s="30"/>
      <c r="Q332" s="28"/>
      <c r="R332" s="225"/>
    </row>
    <row r="333" spans="1:21" ht="24.6">
      <c r="A333" s="293" t="s">
        <v>153</v>
      </c>
      <c r="B333" s="294" t="s">
        <v>154</v>
      </c>
      <c r="C333" s="294"/>
      <c r="D333" s="294"/>
      <c r="E333" s="294"/>
      <c r="F333" s="295"/>
      <c r="G333" s="29"/>
      <c r="H333" s="29"/>
      <c r="I333" s="36"/>
      <c r="J333" s="29"/>
      <c r="K333" s="897"/>
      <c r="L333" s="29"/>
      <c r="M333" s="897"/>
      <c r="N333" s="29"/>
      <c r="O333" s="29"/>
      <c r="P333" s="29">
        <f>0.3912*257</f>
        <v>100.5384</v>
      </c>
      <c r="Q333" s="29"/>
      <c r="R333" s="225"/>
    </row>
    <row r="334" spans="1:21" ht="22.8">
      <c r="A334" s="46"/>
      <c r="B334" s="29"/>
      <c r="C334" s="29"/>
      <c r="D334" s="29"/>
      <c r="E334" s="29"/>
      <c r="F334" s="29"/>
      <c r="G334" s="29"/>
      <c r="H334" s="29"/>
      <c r="I334" s="197" t="s">
        <v>107</v>
      </c>
      <c r="J334" s="30"/>
      <c r="K334" s="1012" t="s">
        <v>105</v>
      </c>
      <c r="L334" s="30"/>
      <c r="M334" s="1013" t="s">
        <v>488</v>
      </c>
      <c r="N334" s="52"/>
      <c r="O334" s="52" t="s">
        <v>489</v>
      </c>
      <c r="P334" s="30"/>
      <c r="Q334" s="52" t="s">
        <v>489</v>
      </c>
      <c r="R334" s="226"/>
    </row>
    <row r="335" spans="1:21" ht="22.8">
      <c r="A335" s="272" t="s">
        <v>155</v>
      </c>
      <c r="B335" s="195" t="s">
        <v>103</v>
      </c>
      <c r="C335" s="29"/>
      <c r="D335" s="29"/>
      <c r="E335" s="29"/>
      <c r="F335" s="29"/>
      <c r="G335" s="29"/>
      <c r="H335" s="29"/>
      <c r="I335" s="30"/>
      <c r="J335" s="30"/>
      <c r="K335" s="1013" t="s">
        <v>106</v>
      </c>
      <c r="L335" s="29"/>
      <c r="M335" s="1013" t="s">
        <v>491</v>
      </c>
      <c r="N335" s="29"/>
      <c r="O335" s="52" t="s">
        <v>104</v>
      </c>
      <c r="P335" s="35"/>
      <c r="Q335" s="52" t="s">
        <v>537</v>
      </c>
      <c r="R335" s="226"/>
    </row>
    <row r="336" spans="1:21" ht="22.8">
      <c r="A336" s="46"/>
      <c r="B336" s="29"/>
      <c r="C336" s="29"/>
      <c r="D336" s="29"/>
      <c r="E336" s="29"/>
      <c r="F336" s="29"/>
      <c r="G336" s="29"/>
      <c r="H336" s="29"/>
      <c r="I336" s="30"/>
      <c r="J336" s="30"/>
      <c r="K336" s="1013"/>
      <c r="L336" s="29"/>
      <c r="M336" s="1013"/>
      <c r="N336" s="29"/>
      <c r="O336" s="52"/>
      <c r="P336" s="35"/>
      <c r="Q336" s="52"/>
      <c r="R336" s="226"/>
    </row>
    <row r="337" spans="1:18" ht="22.8">
      <c r="A337" s="265" t="s">
        <v>258</v>
      </c>
      <c r="B337" s="38" t="s">
        <v>493</v>
      </c>
      <c r="C337" s="29"/>
      <c r="D337" s="29"/>
      <c r="E337" s="29"/>
      <c r="F337" s="29"/>
      <c r="G337" s="29"/>
      <c r="H337" s="29"/>
      <c r="I337" s="890">
        <f>+I115*M180</f>
        <v>236388.31823924842</v>
      </c>
      <c r="J337" s="30"/>
      <c r="K337" s="892">
        <f>+I337/$K$97</f>
        <v>329.69082041736181</v>
      </c>
      <c r="L337" s="53"/>
      <c r="M337" s="892">
        <f>+I337/($I$61*$K$97)</f>
        <v>8.2422705104340448</v>
      </c>
      <c r="N337" s="53"/>
      <c r="O337" s="201">
        <f>+I337/$I$41</f>
        <v>0.33769759748464062</v>
      </c>
      <c r="P337" s="53"/>
      <c r="Q337" s="203">
        <f>+I337/($I$41*$I$28)</f>
        <v>1.152551527251333E-3</v>
      </c>
      <c r="R337" s="227"/>
    </row>
    <row r="338" spans="1:18" ht="22.8">
      <c r="A338" s="46"/>
      <c r="B338" s="29"/>
      <c r="C338" s="29"/>
      <c r="D338" s="29"/>
      <c r="E338" s="29"/>
      <c r="F338" s="29"/>
      <c r="G338" s="29"/>
      <c r="H338" s="29"/>
      <c r="I338" s="891"/>
      <c r="J338" s="30"/>
      <c r="K338" s="892"/>
      <c r="L338" s="53"/>
      <c r="M338" s="897"/>
      <c r="N338" s="53"/>
      <c r="O338" s="53"/>
      <c r="P338" s="53"/>
      <c r="Q338" s="54"/>
      <c r="R338" s="228"/>
    </row>
    <row r="339" spans="1:18" ht="22.8">
      <c r="A339" s="265" t="s">
        <v>159</v>
      </c>
      <c r="B339" s="86" t="s">
        <v>525</v>
      </c>
      <c r="C339" s="29"/>
      <c r="D339" s="29"/>
      <c r="E339" s="29"/>
      <c r="F339" s="29"/>
      <c r="G339" s="29"/>
      <c r="H339" s="29"/>
      <c r="I339" s="890">
        <f>+I149*M182</f>
        <v>1078952.1556253263</v>
      </c>
      <c r="J339" s="30"/>
      <c r="K339" s="892">
        <f>+I339/$K$97</f>
        <v>1504.8147219321147</v>
      </c>
      <c r="L339" s="53"/>
      <c r="M339" s="892">
        <f>+I339/($I$61*$K$97)</f>
        <v>37.620368048302872</v>
      </c>
      <c r="N339" s="53"/>
      <c r="O339" s="201">
        <f>+I339/$I$41</f>
        <v>1.5413602223218947</v>
      </c>
      <c r="P339" s="53"/>
      <c r="Q339" s="203">
        <f>+I339/($I$41*$I$28)</f>
        <v>5.2606150932487878E-3</v>
      </c>
      <c r="R339" s="227"/>
    </row>
    <row r="340" spans="1:18" ht="22.8">
      <c r="A340" s="46"/>
      <c r="B340" s="29"/>
      <c r="C340" s="29"/>
      <c r="D340" s="29"/>
      <c r="E340" s="29"/>
      <c r="F340" s="29"/>
      <c r="G340" s="29"/>
      <c r="H340" s="29"/>
      <c r="I340" s="891"/>
      <c r="J340" s="30"/>
      <c r="K340" s="892"/>
      <c r="L340" s="53"/>
      <c r="M340" s="897"/>
      <c r="N340" s="53"/>
      <c r="O340" s="53"/>
      <c r="P340" s="53"/>
      <c r="Q340" s="54"/>
      <c r="R340" s="228"/>
    </row>
    <row r="341" spans="1:18" ht="22.8">
      <c r="A341" s="265" t="s">
        <v>160</v>
      </c>
      <c r="B341" s="38" t="s">
        <v>496</v>
      </c>
      <c r="C341" s="29"/>
      <c r="D341" s="29"/>
      <c r="E341" s="29"/>
      <c r="F341" s="29"/>
      <c r="G341" s="29"/>
      <c r="H341" s="29"/>
      <c r="I341" s="890">
        <f>+(I137*1000)*M186</f>
        <v>392544.57806666679</v>
      </c>
      <c r="J341" s="30"/>
      <c r="K341" s="892">
        <f>+I341/$K$97</f>
        <v>547.48197777777796</v>
      </c>
      <c r="L341" s="53"/>
      <c r="M341" s="892">
        <f>+I341/($I$61*$K$97)</f>
        <v>13.687049444444449</v>
      </c>
      <c r="N341" s="53"/>
      <c r="O341" s="201">
        <f>+I341/$I$41</f>
        <v>0.56077796866666685</v>
      </c>
      <c r="P341" s="53"/>
      <c r="Q341" s="203">
        <f>+I341/($I$41*$I$28)</f>
        <v>1.9139179817974977E-3</v>
      </c>
      <c r="R341" s="227"/>
    </row>
    <row r="342" spans="1:18" ht="22.8">
      <c r="A342" s="46"/>
      <c r="B342" s="29"/>
      <c r="C342" s="29"/>
      <c r="D342" s="29"/>
      <c r="E342" s="29"/>
      <c r="F342" s="29"/>
      <c r="G342" s="29"/>
      <c r="H342" s="29"/>
      <c r="I342" s="891"/>
      <c r="J342" s="30"/>
      <c r="K342" s="897"/>
      <c r="L342" s="53"/>
      <c r="M342" s="897"/>
      <c r="N342" s="53"/>
      <c r="O342" s="53"/>
      <c r="P342" s="53"/>
      <c r="Q342" s="54"/>
      <c r="R342" s="228"/>
    </row>
    <row r="343" spans="1:18" ht="22.8">
      <c r="A343" s="265" t="s">
        <v>161</v>
      </c>
      <c r="B343" s="38" t="s">
        <v>498</v>
      </c>
      <c r="C343" s="29"/>
      <c r="D343" s="29"/>
      <c r="E343" s="29"/>
      <c r="F343" s="29"/>
      <c r="G343" s="29"/>
      <c r="H343" s="29"/>
      <c r="I343" s="890">
        <f>+(I139*1000)*M188</f>
        <v>960795.70747422695</v>
      </c>
      <c r="J343" s="30"/>
      <c r="K343" s="892">
        <f>+I343/$K$97</f>
        <v>1340.021907216495</v>
      </c>
      <c r="L343" s="53"/>
      <c r="M343" s="892">
        <f>+I343/($I$61*$K$97)</f>
        <v>33.500547680412375</v>
      </c>
      <c r="N343" s="53"/>
      <c r="O343" s="201">
        <f>+I343/$I$41</f>
        <v>1.3725652963917527</v>
      </c>
      <c r="P343" s="53"/>
      <c r="Q343" s="203">
        <f>+I343/($I$41*$I$28)</f>
        <v>4.6845231958762895E-3</v>
      </c>
      <c r="R343" s="227"/>
    </row>
    <row r="344" spans="1:18" ht="22.8">
      <c r="A344" s="39"/>
      <c r="B344" s="29"/>
      <c r="C344" s="29"/>
      <c r="D344" s="29"/>
      <c r="E344" s="29"/>
      <c r="F344" s="29"/>
      <c r="G344" s="29"/>
      <c r="H344" s="29"/>
      <c r="I344" s="891"/>
      <c r="J344" s="30"/>
      <c r="K344" s="897"/>
      <c r="L344" s="53"/>
      <c r="M344" s="897"/>
      <c r="N344" s="53"/>
      <c r="O344" s="53"/>
      <c r="P344" s="53"/>
      <c r="Q344" s="90"/>
      <c r="R344" s="228"/>
    </row>
    <row r="345" spans="1:18" ht="22.8">
      <c r="A345" s="265" t="s">
        <v>162</v>
      </c>
      <c r="B345" s="38" t="s">
        <v>500</v>
      </c>
      <c r="C345" s="29"/>
      <c r="D345" s="29"/>
      <c r="E345" s="29"/>
      <c r="F345" s="29"/>
      <c r="G345" s="29"/>
      <c r="H345" s="29"/>
      <c r="I345" s="890">
        <f>+(I143*1000)*M190</f>
        <v>195199.76019631102</v>
      </c>
      <c r="J345" s="30"/>
      <c r="K345" s="892">
        <f>+I345/$K$97</f>
        <v>272.24513277030826</v>
      </c>
      <c r="L345" s="53"/>
      <c r="M345" s="892">
        <f>+I345/($I$61*$K$97)</f>
        <v>6.8061283192577067</v>
      </c>
      <c r="N345" s="53"/>
      <c r="O345" s="201">
        <f>+I345/$I$41</f>
        <v>0.27885680028044429</v>
      </c>
      <c r="P345" s="53"/>
      <c r="Q345" s="203">
        <f>+I345/($I$41*$I$28)</f>
        <v>9.5172969378991236E-4</v>
      </c>
      <c r="R345" s="227"/>
    </row>
    <row r="346" spans="1:18" ht="22.8">
      <c r="A346" s="266"/>
      <c r="B346" s="38"/>
      <c r="C346" s="29"/>
      <c r="D346" s="29"/>
      <c r="E346" s="29"/>
      <c r="F346" s="29"/>
      <c r="G346" s="29"/>
      <c r="H346" s="29"/>
      <c r="I346" s="891"/>
      <c r="J346" s="30"/>
      <c r="K346" s="892"/>
      <c r="L346" s="53"/>
      <c r="M346" s="897"/>
      <c r="N346" s="53"/>
      <c r="O346" s="53"/>
      <c r="P346" s="53"/>
      <c r="Q346" s="90"/>
      <c r="R346" s="228"/>
    </row>
    <row r="347" spans="1:18" ht="22.8">
      <c r="A347" s="265" t="s">
        <v>259</v>
      </c>
      <c r="B347" s="38" t="s">
        <v>502</v>
      </c>
      <c r="C347" s="29"/>
      <c r="D347" s="29"/>
      <c r="E347" s="29"/>
      <c r="F347" s="29"/>
      <c r="G347" s="29"/>
      <c r="H347" s="29"/>
      <c r="I347" s="890">
        <f>+K97*I61*M196</f>
        <v>0</v>
      </c>
      <c r="J347" s="30"/>
      <c r="K347" s="892">
        <f>+I347/$K$97</f>
        <v>0</v>
      </c>
      <c r="L347" s="53"/>
      <c r="M347" s="892">
        <f>+I347/($I$61*$K$97)</f>
        <v>0</v>
      </c>
      <c r="N347" s="53"/>
      <c r="O347" s="201">
        <f>+I347/$I$41</f>
        <v>0</v>
      </c>
      <c r="P347" s="53"/>
      <c r="Q347" s="203">
        <f>+I347/($I$41*$I$28)</f>
        <v>0</v>
      </c>
      <c r="R347" s="227"/>
    </row>
    <row r="348" spans="1:18" ht="22.8">
      <c r="A348" s="266"/>
      <c r="B348" s="38"/>
      <c r="C348" s="29"/>
      <c r="D348" s="29"/>
      <c r="E348" s="29"/>
      <c r="F348" s="29"/>
      <c r="G348" s="29"/>
      <c r="H348" s="29"/>
      <c r="I348" s="891"/>
      <c r="J348" s="30"/>
      <c r="K348" s="892"/>
      <c r="L348" s="53"/>
      <c r="M348" s="897"/>
      <c r="N348" s="53"/>
      <c r="O348" s="53"/>
      <c r="P348" s="53"/>
      <c r="Q348" s="54"/>
      <c r="R348" s="228"/>
    </row>
    <row r="349" spans="1:18" ht="22.8">
      <c r="A349" s="265" t="s">
        <v>164</v>
      </c>
      <c r="B349" s="38" t="s">
        <v>144</v>
      </c>
      <c r="C349" s="29"/>
      <c r="D349" s="29"/>
      <c r="E349" s="29"/>
      <c r="F349" s="29"/>
      <c r="G349" s="29"/>
      <c r="H349" s="29"/>
      <c r="I349" s="890"/>
      <c r="J349" s="30"/>
      <c r="K349" s="892"/>
      <c r="L349" s="53"/>
      <c r="M349" s="892"/>
      <c r="N349" s="53"/>
      <c r="O349" s="201"/>
      <c r="P349" s="53"/>
      <c r="Q349" s="203"/>
      <c r="R349" s="227"/>
    </row>
    <row r="350" spans="1:18" ht="22.8">
      <c r="A350" s="266"/>
      <c r="B350" s="38"/>
      <c r="C350" s="29"/>
      <c r="D350" s="29"/>
      <c r="E350" s="29"/>
      <c r="F350" s="29"/>
      <c r="G350" s="29"/>
      <c r="H350" s="29"/>
      <c r="I350" s="891"/>
      <c r="J350" s="30"/>
      <c r="K350" s="892"/>
      <c r="L350" s="53"/>
      <c r="M350" s="897"/>
      <c r="N350" s="53"/>
      <c r="O350" s="53"/>
      <c r="P350" s="53"/>
      <c r="Q350" s="54"/>
      <c r="R350" s="228"/>
    </row>
    <row r="351" spans="1:18" ht="22.8">
      <c r="A351" s="265" t="s">
        <v>165</v>
      </c>
      <c r="B351" s="38"/>
      <c r="C351" s="45" t="s">
        <v>110</v>
      </c>
      <c r="D351" s="29"/>
      <c r="E351" s="29"/>
      <c r="F351" s="29"/>
      <c r="G351" s="29"/>
      <c r="H351" s="29"/>
      <c r="I351" s="893">
        <f>SUM(I337:I349)</f>
        <v>2863880.5196017795</v>
      </c>
      <c r="J351" s="30"/>
      <c r="K351" s="893">
        <f>SUM(K337:K349)</f>
        <v>3994.2545601140578</v>
      </c>
      <c r="L351" s="53"/>
      <c r="M351" s="893">
        <f>SUM(M337:M349)</f>
        <v>99.85636400285145</v>
      </c>
      <c r="N351" s="53"/>
      <c r="O351" s="202">
        <f>SUM(O337:O349)</f>
        <v>4.0912578851453993</v>
      </c>
      <c r="P351" s="53"/>
      <c r="Q351" s="204">
        <f>SUM(Q337:Q349)</f>
        <v>1.396333749196382E-2</v>
      </c>
      <c r="R351" s="229"/>
    </row>
    <row r="352" spans="1:18" ht="22.8">
      <c r="A352" s="266"/>
      <c r="B352" s="38"/>
      <c r="C352" s="29"/>
      <c r="D352" s="29"/>
      <c r="E352" s="29"/>
      <c r="F352" s="29"/>
      <c r="G352" s="29"/>
      <c r="H352" s="29"/>
      <c r="I352" s="891"/>
      <c r="J352" s="30"/>
      <c r="K352" s="892"/>
      <c r="L352" s="53"/>
      <c r="M352" s="897"/>
      <c r="N352" s="53"/>
      <c r="O352" s="53"/>
      <c r="P352" s="53"/>
      <c r="Q352" s="54"/>
      <c r="R352" s="228"/>
    </row>
    <row r="353" spans="1:18" ht="22.8">
      <c r="A353" s="273" t="s">
        <v>163</v>
      </c>
      <c r="B353" s="195" t="s">
        <v>124</v>
      </c>
      <c r="C353" s="29"/>
      <c r="D353" s="29"/>
      <c r="E353" s="29"/>
      <c r="F353" s="29"/>
      <c r="G353" s="29"/>
      <c r="H353" s="29"/>
      <c r="I353" s="891"/>
      <c r="J353" s="30"/>
      <c r="K353" s="892"/>
      <c r="L353" s="53"/>
      <c r="M353" s="897"/>
      <c r="N353" s="53"/>
      <c r="O353" s="53"/>
      <c r="P353" s="53"/>
      <c r="Q353" s="54"/>
      <c r="R353" s="228"/>
    </row>
    <row r="354" spans="1:18" ht="22.8">
      <c r="A354" s="266"/>
      <c r="B354" s="38"/>
      <c r="C354" s="29"/>
      <c r="D354" s="29"/>
      <c r="E354" s="29"/>
      <c r="F354" s="29"/>
      <c r="G354" s="29"/>
      <c r="H354" s="29"/>
      <c r="I354" s="891"/>
      <c r="J354" s="30"/>
      <c r="K354" s="892"/>
      <c r="L354" s="53"/>
      <c r="M354" s="897"/>
      <c r="N354" s="53"/>
      <c r="O354" s="53"/>
      <c r="P354" s="53"/>
      <c r="Q354" s="54"/>
      <c r="R354" s="228"/>
    </row>
    <row r="355" spans="1:18" ht="22.8">
      <c r="A355" s="265" t="s">
        <v>166</v>
      </c>
      <c r="B355" s="38" t="s">
        <v>511</v>
      </c>
      <c r="C355" s="29"/>
      <c r="D355" s="29"/>
      <c r="E355" s="29"/>
      <c r="F355" s="29"/>
      <c r="G355" s="29"/>
      <c r="H355" s="29"/>
      <c r="I355" s="890">
        <f>+M192*I156</f>
        <v>2098848.9600000004</v>
      </c>
      <c r="J355" s="30"/>
      <c r="K355" s="892">
        <f>+I355/$K$97</f>
        <v>2927.2649372384944</v>
      </c>
      <c r="L355" s="53"/>
      <c r="M355" s="892">
        <f>+I355/($I$61*$K$97)</f>
        <v>73.181623430962361</v>
      </c>
      <c r="N355" s="53"/>
      <c r="O355" s="201">
        <f>+I355/$I$41</f>
        <v>2.9983556571428576</v>
      </c>
      <c r="P355" s="53"/>
      <c r="Q355" s="203">
        <f>+O355/$I$28</f>
        <v>1.023329575816675E-2</v>
      </c>
      <c r="R355" s="227"/>
    </row>
    <row r="356" spans="1:18" ht="22.8">
      <c r="A356" s="266"/>
      <c r="B356" s="38"/>
      <c r="C356" s="29"/>
      <c r="D356" s="29"/>
      <c r="E356" s="29"/>
      <c r="F356" s="29"/>
      <c r="G356" s="29"/>
      <c r="H356" s="29"/>
      <c r="I356" s="891"/>
      <c r="J356" s="30"/>
      <c r="K356" s="892"/>
      <c r="L356" s="53"/>
      <c r="M356" s="897"/>
      <c r="N356" s="53"/>
      <c r="O356" s="53"/>
      <c r="P356" s="53"/>
      <c r="Q356" s="54"/>
      <c r="R356" s="228"/>
    </row>
    <row r="357" spans="1:18" ht="22.8">
      <c r="A357" s="265" t="s">
        <v>167</v>
      </c>
      <c r="B357" s="38" t="s">
        <v>126</v>
      </c>
      <c r="C357" s="29"/>
      <c r="D357" s="29"/>
      <c r="E357" s="29"/>
      <c r="F357" s="29"/>
      <c r="G357" s="29"/>
      <c r="H357" s="29"/>
      <c r="I357" s="890">
        <f>+I28*M194</f>
        <v>760595.14018691587</v>
      </c>
      <c r="J357" s="30"/>
      <c r="K357" s="892">
        <f>+I357/$K$97</f>
        <v>1060.8021480989064</v>
      </c>
      <c r="L357" s="53"/>
      <c r="M357" s="892">
        <f>+I357/($I$61*$K$97)</f>
        <v>26.520053702472659</v>
      </c>
      <c r="N357" s="53"/>
      <c r="O357" s="201">
        <f>+I357/$I$41</f>
        <v>1.0865644859813084</v>
      </c>
      <c r="P357" s="53"/>
      <c r="Q357" s="203">
        <f>+O357/$I$28</f>
        <v>3.7084112149532709E-3</v>
      </c>
      <c r="R357" s="227"/>
    </row>
    <row r="358" spans="1:18" ht="22.8">
      <c r="A358" s="266"/>
      <c r="B358" s="38"/>
      <c r="C358" s="29"/>
      <c r="D358" s="29"/>
      <c r="E358" s="29"/>
      <c r="F358" s="29"/>
      <c r="G358" s="29"/>
      <c r="H358" s="29"/>
      <c r="I358" s="891"/>
      <c r="J358" s="30"/>
      <c r="K358" s="892"/>
      <c r="L358" s="53"/>
      <c r="M358" s="897"/>
      <c r="N358" s="53"/>
      <c r="O358" s="53"/>
      <c r="P358" s="53"/>
      <c r="Q358" s="54"/>
      <c r="R358" s="228"/>
    </row>
    <row r="359" spans="1:18" ht="22.8">
      <c r="A359" s="265" t="s">
        <v>169</v>
      </c>
      <c r="B359" s="38" t="s">
        <v>127</v>
      </c>
      <c r="C359" s="29"/>
      <c r="D359" s="29"/>
      <c r="E359" s="29"/>
      <c r="F359" s="29"/>
      <c r="G359" s="29"/>
      <c r="H359" s="29"/>
      <c r="I359" s="890">
        <f>+M198</f>
        <v>0</v>
      </c>
      <c r="J359" s="30"/>
      <c r="K359" s="892">
        <f>+I359/$K$97</f>
        <v>0</v>
      </c>
      <c r="L359" s="53"/>
      <c r="M359" s="892">
        <f>+K359/$I$61</f>
        <v>0</v>
      </c>
      <c r="N359" s="53"/>
      <c r="O359" s="201">
        <f>+I359/$I$41</f>
        <v>0</v>
      </c>
      <c r="P359" s="53"/>
      <c r="Q359" s="203">
        <f>+O359/$I$28</f>
        <v>0</v>
      </c>
      <c r="R359" s="227"/>
    </row>
    <row r="360" spans="1:18" ht="22.8">
      <c r="A360" s="266"/>
      <c r="B360" s="38"/>
      <c r="C360" s="29"/>
      <c r="D360" s="29"/>
      <c r="E360" s="29"/>
      <c r="F360" s="29"/>
      <c r="G360" s="29"/>
      <c r="H360" s="29"/>
      <c r="I360" s="891"/>
      <c r="J360" s="30"/>
      <c r="K360" s="892"/>
      <c r="L360" s="53"/>
      <c r="M360" s="897"/>
      <c r="N360" s="53"/>
      <c r="O360" s="53"/>
      <c r="P360" s="53"/>
      <c r="Q360" s="54"/>
      <c r="R360" s="228"/>
    </row>
    <row r="361" spans="1:18" ht="22.8">
      <c r="A361" s="265" t="s">
        <v>170</v>
      </c>
      <c r="B361" s="38"/>
      <c r="C361" s="45" t="s">
        <v>130</v>
      </c>
      <c r="D361" s="29"/>
      <c r="E361" s="29"/>
      <c r="F361" s="29"/>
      <c r="G361" s="29"/>
      <c r="H361" s="29"/>
      <c r="I361" s="894">
        <f>SUM(I355:I359)</f>
        <v>2859444.1001869161</v>
      </c>
      <c r="J361" s="30"/>
      <c r="K361" s="894">
        <f>SUM(K355:K359)</f>
        <v>3988.0670853374008</v>
      </c>
      <c r="L361" s="53"/>
      <c r="M361" s="894">
        <f>SUM(M355:M359)</f>
        <v>99.701677133435027</v>
      </c>
      <c r="N361" s="53"/>
      <c r="O361" s="207">
        <f>SUM(O355:O359)</f>
        <v>4.0849201431241662</v>
      </c>
      <c r="P361" s="53"/>
      <c r="Q361" s="208">
        <f>SUM(Q355:Q359)</f>
        <v>1.394170697312002E-2</v>
      </c>
      <c r="R361" s="230"/>
    </row>
    <row r="362" spans="1:18" ht="22.8">
      <c r="A362" s="266"/>
      <c r="B362" s="38"/>
      <c r="C362" s="29"/>
      <c r="D362" s="29"/>
      <c r="E362" s="29"/>
      <c r="F362" s="29"/>
      <c r="G362" s="29"/>
      <c r="H362" s="29"/>
      <c r="I362" s="199"/>
      <c r="J362" s="30"/>
      <c r="K362" s="892"/>
      <c r="L362" s="53"/>
      <c r="M362" s="897"/>
      <c r="N362" s="53"/>
      <c r="O362" s="53"/>
      <c r="P362" s="53"/>
      <c r="Q362" s="54"/>
      <c r="R362" s="228"/>
    </row>
    <row r="363" spans="1:18" ht="22.8">
      <c r="A363" s="273" t="s">
        <v>168</v>
      </c>
      <c r="B363" s="210" t="s">
        <v>531</v>
      </c>
      <c r="C363" s="29"/>
      <c r="D363" s="29"/>
      <c r="E363" s="29"/>
      <c r="F363" s="29"/>
      <c r="G363" s="29"/>
      <c r="H363" s="29"/>
      <c r="I363" s="199"/>
      <c r="J363" s="30"/>
      <c r="K363" s="892"/>
      <c r="L363" s="53"/>
      <c r="M363" s="897"/>
      <c r="N363" s="53"/>
      <c r="O363" s="53"/>
      <c r="P363" s="53"/>
      <c r="Q363" s="54"/>
      <c r="R363" s="228"/>
    </row>
    <row r="364" spans="1:18" ht="22.8">
      <c r="A364" s="266"/>
      <c r="B364" s="38"/>
      <c r="C364" s="29"/>
      <c r="D364" s="29"/>
      <c r="E364" s="29"/>
      <c r="F364" s="29"/>
      <c r="G364" s="29"/>
      <c r="H364" s="29"/>
      <c r="I364" s="199"/>
      <c r="J364" s="30"/>
      <c r="K364" s="892"/>
      <c r="L364" s="53"/>
      <c r="M364" s="897"/>
      <c r="N364" s="53"/>
      <c r="O364" s="53"/>
      <c r="P364" s="53"/>
      <c r="Q364" s="54"/>
      <c r="R364" s="228"/>
    </row>
    <row r="365" spans="1:18" ht="22.8">
      <c r="A365" s="265" t="s">
        <v>171</v>
      </c>
      <c r="B365" s="211" t="s">
        <v>508</v>
      </c>
      <c r="C365" s="30"/>
      <c r="D365" s="29"/>
      <c r="E365" s="29"/>
      <c r="F365" s="29"/>
      <c r="G365" s="29"/>
      <c r="H365" s="29"/>
      <c r="I365" s="199"/>
      <c r="J365" s="30"/>
      <c r="K365" s="892"/>
      <c r="L365" s="53"/>
      <c r="M365" s="897"/>
      <c r="N365" s="53"/>
      <c r="O365" s="53"/>
      <c r="P365" s="53"/>
      <c r="Q365" s="54"/>
      <c r="R365" s="228"/>
    </row>
    <row r="366" spans="1:18" ht="22.8">
      <c r="A366" s="265"/>
      <c r="B366" s="94"/>
      <c r="C366" s="30"/>
      <c r="D366" s="29"/>
      <c r="E366" s="29"/>
      <c r="F366" s="29"/>
      <c r="G366" s="29"/>
      <c r="H366" s="29"/>
      <c r="I366" s="199"/>
      <c r="J366" s="30"/>
      <c r="K366" s="892"/>
      <c r="L366" s="53"/>
      <c r="M366" s="897"/>
      <c r="N366" s="53"/>
      <c r="O366" s="53"/>
      <c r="P366" s="53"/>
      <c r="Q366" s="54"/>
      <c r="R366" s="228"/>
    </row>
    <row r="367" spans="1:18" ht="22.8">
      <c r="A367" s="265" t="s">
        <v>260</v>
      </c>
      <c r="B367" s="38" t="s">
        <v>89</v>
      </c>
      <c r="C367" s="38"/>
      <c r="D367" s="29"/>
      <c r="E367" s="29"/>
      <c r="F367" s="29"/>
      <c r="G367" s="29"/>
      <c r="H367" s="29"/>
      <c r="I367" s="890">
        <f>+((M215*(1-M219))/M217)*(1+I221)</f>
        <v>3328135.373046665</v>
      </c>
      <c r="J367" s="30"/>
      <c r="K367" s="892">
        <f>+I367/$K$97</f>
        <v>4641.7508689632705</v>
      </c>
      <c r="L367" s="53"/>
      <c r="M367" s="892">
        <f>+I367/($I$61*$K$97)</f>
        <v>116.04377172408176</v>
      </c>
      <c r="N367" s="53"/>
      <c r="O367" s="201">
        <f>+I367/$I$41</f>
        <v>4.7544791043523782</v>
      </c>
      <c r="P367" s="53"/>
      <c r="Q367" s="203">
        <f>+O367/$I$28</f>
        <v>1.6226891141134396E-2</v>
      </c>
      <c r="R367" s="227"/>
    </row>
    <row r="368" spans="1:18" ht="22.8">
      <c r="A368" s="265"/>
      <c r="B368" s="38"/>
      <c r="C368" s="38"/>
      <c r="D368" s="29"/>
      <c r="E368" s="29"/>
      <c r="F368" s="29"/>
      <c r="G368" s="29"/>
      <c r="H368" s="29"/>
      <c r="I368" s="198"/>
      <c r="J368" s="30"/>
      <c r="K368" s="892"/>
      <c r="L368" s="53"/>
      <c r="M368" s="892"/>
      <c r="N368" s="53"/>
      <c r="O368" s="36"/>
      <c r="P368" s="53"/>
      <c r="Q368" s="203"/>
      <c r="R368" s="227"/>
    </row>
    <row r="369" spans="1:18" ht="22.8">
      <c r="A369" s="265" t="s">
        <v>261</v>
      </c>
      <c r="B369" s="38" t="s">
        <v>131</v>
      </c>
      <c r="C369" s="38"/>
      <c r="D369" s="29"/>
      <c r="E369" s="29"/>
      <c r="F369" s="29"/>
      <c r="G369" s="29"/>
      <c r="H369" s="29"/>
      <c r="I369" s="890">
        <f>+((M227*(1-M231))/M229)^(1+I233)</f>
        <v>161926.32456179877</v>
      </c>
      <c r="J369" s="30"/>
      <c r="K369" s="892">
        <f>+I369/$K$97</f>
        <v>225.83866745020748</v>
      </c>
      <c r="L369" s="53"/>
      <c r="M369" s="892">
        <f>+I369/($I$61*$K$97)</f>
        <v>5.6459666862551874</v>
      </c>
      <c r="N369" s="53"/>
      <c r="O369" s="201">
        <f>+I369/$I$41</f>
        <v>0.23132332080256968</v>
      </c>
      <c r="P369" s="53"/>
      <c r="Q369" s="203">
        <f>+O369/$I$28</f>
        <v>7.8949938840467467E-4</v>
      </c>
      <c r="R369" s="227"/>
    </row>
    <row r="370" spans="1:18" ht="22.8">
      <c r="A370" s="265"/>
      <c r="B370" s="38"/>
      <c r="C370" s="38"/>
      <c r="D370" s="29"/>
      <c r="E370" s="29"/>
      <c r="F370" s="29"/>
      <c r="G370" s="29"/>
      <c r="H370" s="29"/>
      <c r="I370" s="198"/>
      <c r="J370" s="30"/>
      <c r="K370" s="892"/>
      <c r="L370" s="53"/>
      <c r="M370" s="892"/>
      <c r="N370" s="53"/>
      <c r="O370" s="36"/>
      <c r="P370" s="53"/>
      <c r="Q370" s="96"/>
      <c r="R370" s="227"/>
    </row>
    <row r="371" spans="1:18" ht="22.8">
      <c r="A371" s="265" t="s">
        <v>262</v>
      </c>
      <c r="B371" s="209" t="s">
        <v>133</v>
      </c>
      <c r="C371" s="38"/>
      <c r="D371" s="29"/>
      <c r="E371" s="29"/>
      <c r="F371" s="29"/>
      <c r="G371" s="29"/>
      <c r="H371" s="29"/>
      <c r="I371" s="895">
        <f>SUM(I367:I369)</f>
        <v>3490061.6976084639</v>
      </c>
      <c r="J371" s="30"/>
      <c r="K371" s="895">
        <f>SUM(K367:K369)</f>
        <v>4867.5895364134776</v>
      </c>
      <c r="L371" s="53"/>
      <c r="M371" s="892">
        <f>+I371/($I$61*$K$97)</f>
        <v>121.68973841033696</v>
      </c>
      <c r="N371" s="53"/>
      <c r="O371" s="201">
        <f>+I371/$I$41</f>
        <v>4.9858024251549482</v>
      </c>
      <c r="P371" s="53"/>
      <c r="Q371" s="214">
        <f>SUM(Q367:Q369)</f>
        <v>1.7016390529539072E-2</v>
      </c>
      <c r="R371" s="231"/>
    </row>
    <row r="372" spans="1:18" ht="22.8">
      <c r="A372" s="266"/>
      <c r="B372" s="38"/>
      <c r="C372" s="29"/>
      <c r="D372" s="29"/>
      <c r="E372" s="29"/>
      <c r="F372" s="29"/>
      <c r="G372" s="29"/>
      <c r="H372" s="29"/>
      <c r="I372" s="199"/>
      <c r="J372" s="30"/>
      <c r="K372" s="892"/>
      <c r="L372" s="53"/>
      <c r="M372" s="897"/>
      <c r="N372" s="53"/>
      <c r="O372" s="53"/>
      <c r="P372" s="53"/>
      <c r="Q372" s="54"/>
      <c r="R372" s="232"/>
    </row>
    <row r="373" spans="1:18" ht="22.8">
      <c r="A373" s="265" t="s">
        <v>172</v>
      </c>
      <c r="B373" s="211" t="s">
        <v>189</v>
      </c>
      <c r="C373" s="29"/>
      <c r="D373" s="29"/>
      <c r="E373" s="29"/>
      <c r="F373" s="29"/>
      <c r="G373" s="29"/>
      <c r="H373" s="29"/>
      <c r="I373" s="895">
        <f>+((K125*(M237*(1-M241))/M239))*(1+I243)</f>
        <v>304308</v>
      </c>
      <c r="J373" s="196"/>
      <c r="K373" s="898">
        <f>+I373/$K$97</f>
        <v>424.41841004184101</v>
      </c>
      <c r="L373" s="216"/>
      <c r="M373" s="892">
        <f>+I373/($I$61*$K$97)</f>
        <v>10.610460251046025</v>
      </c>
      <c r="N373" s="216"/>
      <c r="O373" s="201">
        <f>+I373/$I$41</f>
        <v>0.43472571428571427</v>
      </c>
      <c r="P373" s="216"/>
      <c r="Q373" s="218">
        <f>+O373/$I$28</f>
        <v>1.4837055095075573E-3</v>
      </c>
      <c r="R373" s="233"/>
    </row>
    <row r="374" spans="1:18" ht="22.8">
      <c r="A374" s="265"/>
      <c r="B374" s="211"/>
      <c r="C374" s="29"/>
      <c r="D374" s="29"/>
      <c r="E374" s="29"/>
      <c r="F374" s="29"/>
      <c r="G374" s="29"/>
      <c r="H374" s="29"/>
      <c r="I374" s="199"/>
      <c r="J374" s="30"/>
      <c r="K374" s="899"/>
      <c r="L374" s="53"/>
      <c r="M374" s="899"/>
      <c r="N374" s="53"/>
      <c r="O374" s="36"/>
      <c r="P374" s="53"/>
      <c r="Q374" s="36"/>
      <c r="R374" s="234"/>
    </row>
    <row r="375" spans="1:18" ht="22.8">
      <c r="A375" s="265" t="s">
        <v>193</v>
      </c>
      <c r="B375" s="211" t="s">
        <v>188</v>
      </c>
      <c r="C375" s="29"/>
      <c r="D375" s="29"/>
      <c r="E375" s="29"/>
      <c r="F375" s="29"/>
      <c r="G375" s="29"/>
      <c r="H375" s="29"/>
      <c r="I375" s="890">
        <f>+((I127*(M245*(1-M249))/M247)*(1+I251))</f>
        <v>0</v>
      </c>
      <c r="J375" s="30"/>
      <c r="K375" s="898">
        <f>+I375/$K$97</f>
        <v>0</v>
      </c>
      <c r="L375" s="216"/>
      <c r="M375" s="892">
        <f>+I375/($I$61*$K$97)</f>
        <v>0</v>
      </c>
      <c r="N375" s="216"/>
      <c r="O375" s="201">
        <f>+I375/$I$41</f>
        <v>0</v>
      </c>
      <c r="P375" s="216"/>
      <c r="Q375" s="218">
        <f>+O375/$I$28</f>
        <v>0</v>
      </c>
      <c r="R375" s="233"/>
    </row>
    <row r="376" spans="1:18" ht="22.8">
      <c r="A376" s="265"/>
      <c r="B376" s="211"/>
      <c r="C376" s="29"/>
      <c r="D376" s="29"/>
      <c r="E376" s="29"/>
      <c r="F376" s="29"/>
      <c r="G376" s="29"/>
      <c r="H376" s="29"/>
      <c r="I376" s="199"/>
      <c r="J376" s="30"/>
      <c r="K376" s="899"/>
      <c r="L376" s="53"/>
      <c r="M376" s="899"/>
      <c r="N376" s="53"/>
      <c r="O376" s="36"/>
      <c r="P376" s="53"/>
      <c r="Q376" s="36"/>
      <c r="R376" s="234"/>
    </row>
    <row r="377" spans="1:18" ht="22.8">
      <c r="A377" s="265" t="s">
        <v>194</v>
      </c>
      <c r="B377" s="211" t="s">
        <v>506</v>
      </c>
      <c r="C377" s="29"/>
      <c r="D377" s="29"/>
      <c r="E377" s="29"/>
      <c r="F377" s="29"/>
      <c r="G377" s="29"/>
      <c r="H377" s="29"/>
      <c r="I377" s="895">
        <f>+((K133*(M255*(1-M259))/M257)*(1+I261))</f>
        <v>438545.86650000006</v>
      </c>
      <c r="J377" s="30"/>
      <c r="K377" s="898">
        <f>+I377/$K$97</f>
        <v>611.63998117154824</v>
      </c>
      <c r="L377" s="53"/>
      <c r="M377" s="892">
        <f>+I377/($I$61*$K$97)</f>
        <v>15.290999529288705</v>
      </c>
      <c r="N377" s="53"/>
      <c r="O377" s="201">
        <f>+I377/$I$41</f>
        <v>0.62649409500000008</v>
      </c>
      <c r="P377" s="53"/>
      <c r="Q377" s="218">
        <f>+O377/$I$28</f>
        <v>2.1382051023890788E-3</v>
      </c>
      <c r="R377" s="233"/>
    </row>
    <row r="378" spans="1:18" ht="22.8">
      <c r="A378" s="46"/>
      <c r="B378" s="29"/>
      <c r="C378" s="29"/>
      <c r="D378" s="29"/>
      <c r="E378" s="29"/>
      <c r="F378" s="29"/>
      <c r="G378" s="29"/>
      <c r="H378" s="29"/>
      <c r="I378" s="199"/>
      <c r="J378" s="30"/>
      <c r="K378" s="897"/>
      <c r="L378" s="53"/>
      <c r="M378" s="897"/>
      <c r="N378" s="53"/>
      <c r="O378" s="53"/>
      <c r="P378" s="53"/>
      <c r="Q378" s="54"/>
      <c r="R378" s="232"/>
    </row>
    <row r="379" spans="1:18" ht="22.8">
      <c r="A379" s="265" t="s">
        <v>195</v>
      </c>
      <c r="B379" s="29"/>
      <c r="C379" s="45" t="s">
        <v>137</v>
      </c>
      <c r="D379" s="29"/>
      <c r="E379" s="29"/>
      <c r="F379" s="29"/>
      <c r="G379" s="29"/>
      <c r="H379" s="29"/>
      <c r="I379" s="894">
        <f>+I371+I373+I375+I377</f>
        <v>4232915.5641084639</v>
      </c>
      <c r="J379" s="30"/>
      <c r="K379" s="894">
        <f>+K371+K373+K375+K377</f>
        <v>5903.6479276268665</v>
      </c>
      <c r="L379" s="53"/>
      <c r="M379" s="894">
        <f>+M371+M373+M375+M377</f>
        <v>147.59119819067169</v>
      </c>
      <c r="N379" s="53"/>
      <c r="O379" s="207">
        <f>+O371+O373+O375+O377</f>
        <v>6.0470222344406626</v>
      </c>
      <c r="P379" s="53"/>
      <c r="Q379" s="208">
        <f>+Q371+Q373+Q375+Q377</f>
        <v>2.0638301141435708E-2</v>
      </c>
      <c r="R379" s="230"/>
    </row>
    <row r="380" spans="1:18" ht="17.399999999999999">
      <c r="A380" s="274"/>
      <c r="B380" s="55"/>
      <c r="C380" s="56"/>
      <c r="D380" s="56"/>
      <c r="E380" s="56"/>
      <c r="F380" s="56"/>
      <c r="G380" s="56"/>
      <c r="H380" s="56"/>
      <c r="I380" s="891"/>
      <c r="J380" s="30"/>
      <c r="K380" s="900"/>
      <c r="L380" s="56"/>
      <c r="M380" s="900"/>
      <c r="N380" s="56"/>
      <c r="O380" s="57"/>
      <c r="P380" s="57"/>
      <c r="Q380" s="56"/>
      <c r="R380" s="235"/>
    </row>
    <row r="381" spans="1:18" ht="24.6">
      <c r="A381" s="275" t="s">
        <v>263</v>
      </c>
      <c r="B381" s="55"/>
      <c r="C381" s="56"/>
      <c r="D381" s="56"/>
      <c r="E381" s="56"/>
      <c r="F381" s="56"/>
      <c r="G381" s="56"/>
      <c r="H381" s="56"/>
      <c r="I381" s="896">
        <f>+I379+I361+I351</f>
        <v>9956240.18389716</v>
      </c>
      <c r="J381" s="30"/>
      <c r="K381" s="896">
        <f>+K379+K361+K351</f>
        <v>13885.969573078324</v>
      </c>
      <c r="L381" s="56"/>
      <c r="M381" s="896">
        <f>+M379+M361+M351</f>
        <v>347.1492393269582</v>
      </c>
      <c r="N381" s="56"/>
      <c r="O381" s="222">
        <f>+O379+O361+O351</f>
        <v>14.223200262710229</v>
      </c>
      <c r="P381" s="57"/>
      <c r="Q381" s="223">
        <f>+Q379+Q361+Q351</f>
        <v>4.8543345606519545E-2</v>
      </c>
      <c r="R381" s="236"/>
    </row>
    <row r="382" spans="1:18" ht="18" thickBot="1">
      <c r="A382" s="277"/>
      <c r="B382" s="250"/>
      <c r="C382" s="251"/>
      <c r="D382" s="251"/>
      <c r="E382" s="251"/>
      <c r="F382" s="251"/>
      <c r="G382" s="251"/>
      <c r="H382" s="251"/>
      <c r="I382" s="252"/>
      <c r="J382" s="253"/>
      <c r="K382" s="251"/>
      <c r="L382" s="251"/>
      <c r="M382" s="251"/>
      <c r="N382" s="251"/>
      <c r="O382" s="254"/>
      <c r="P382" s="254"/>
      <c r="Q382" s="251"/>
      <c r="R382" s="288"/>
    </row>
    <row r="383" spans="1:18" ht="15.6" thickTop="1"/>
  </sheetData>
  <mergeCells count="1">
    <mergeCell ref="A1:H1"/>
  </mergeCells>
  <phoneticPr fontId="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tabColor rgb="FF990033"/>
  </sheetPr>
  <dimension ref="A1:R418"/>
  <sheetViews>
    <sheetView tabSelected="1" zoomScale="53" zoomScaleNormal="53" workbookViewId="0">
      <selection activeCell="A260" sqref="A260:Q330"/>
    </sheetView>
  </sheetViews>
  <sheetFormatPr defaultRowHeight="15"/>
  <cols>
    <col min="1" max="1" width="9.90625" bestFit="1" customWidth="1"/>
    <col min="4" max="4" width="13.90625" customWidth="1"/>
    <col min="5" max="5" width="16" customWidth="1"/>
    <col min="8" max="8" width="50.1796875" customWidth="1"/>
    <col min="9" max="9" width="33" customWidth="1"/>
    <col min="11" max="11" width="12.54296875" customWidth="1"/>
    <col min="13" max="13" width="24.54296875" customWidth="1"/>
    <col min="15" max="15" width="11.1796875" customWidth="1"/>
    <col min="17" max="17" width="15" customWidth="1"/>
    <col min="18" max="18" width="32.6328125" customWidth="1"/>
  </cols>
  <sheetData>
    <row r="1" spans="1:18" ht="45" thickTop="1">
      <c r="A1" s="1551" t="s">
        <v>684</v>
      </c>
      <c r="B1" s="1552"/>
      <c r="C1" s="1552"/>
      <c r="D1" s="1552"/>
      <c r="E1" s="1552"/>
      <c r="F1" s="1552"/>
      <c r="G1" s="1552"/>
      <c r="H1" s="1552"/>
      <c r="I1" s="289"/>
      <c r="J1" s="289"/>
      <c r="K1" s="289"/>
      <c r="L1" s="289"/>
      <c r="M1" s="289"/>
      <c r="N1" s="289"/>
      <c r="O1" s="348"/>
      <c r="P1" s="289"/>
      <c r="Q1" s="289"/>
      <c r="R1" s="290"/>
    </row>
    <row r="2" spans="1:18" ht="15.6" thickBot="1">
      <c r="A2" s="291"/>
      <c r="B2" s="253"/>
      <c r="C2" s="253"/>
      <c r="D2" s="253"/>
      <c r="E2" s="253"/>
      <c r="F2" s="253"/>
      <c r="G2" s="253"/>
      <c r="H2" s="449"/>
      <c r="I2" s="253"/>
      <c r="J2" s="253"/>
      <c r="K2" s="253"/>
      <c r="L2" s="253"/>
      <c r="M2" s="253"/>
      <c r="N2" s="253"/>
      <c r="O2" s="253"/>
      <c r="P2" s="253"/>
      <c r="Q2" s="253"/>
      <c r="R2" s="292"/>
    </row>
    <row r="3" spans="1:18" ht="23.4" thickTop="1">
      <c r="A3" s="303" t="s">
        <v>211</v>
      </c>
      <c r="B3" s="304"/>
      <c r="C3" s="304"/>
      <c r="D3" s="304"/>
      <c r="E3" s="304"/>
      <c r="F3" s="304"/>
      <c r="G3" s="304"/>
      <c r="H3" s="450"/>
      <c r="I3" s="305"/>
      <c r="J3" s="306"/>
      <c r="K3" s="307"/>
      <c r="L3" s="307"/>
      <c r="M3" s="307"/>
      <c r="N3" s="307"/>
      <c r="O3" s="307"/>
      <c r="P3" s="307"/>
      <c r="Q3" s="307"/>
      <c r="R3" s="308"/>
    </row>
    <row r="4" spans="1:18">
      <c r="A4" s="309"/>
      <c r="B4" s="310"/>
      <c r="C4" s="310"/>
      <c r="D4" s="310"/>
      <c r="E4" s="310"/>
      <c r="F4" s="310"/>
      <c r="G4" s="310"/>
      <c r="H4" s="451"/>
      <c r="I4" s="310"/>
      <c r="J4" s="310"/>
      <c r="K4" s="310"/>
      <c r="L4" s="310"/>
      <c r="M4" s="310"/>
      <c r="N4" s="310"/>
      <c r="O4" s="310"/>
      <c r="P4" s="310"/>
      <c r="Q4" s="310"/>
      <c r="R4" s="311"/>
    </row>
    <row r="5" spans="1:18" ht="18.600000000000001">
      <c r="A5" s="314"/>
      <c r="B5" s="312"/>
      <c r="C5" s="312"/>
      <c r="D5" s="312"/>
      <c r="E5" s="313"/>
      <c r="F5" s="315"/>
      <c r="G5" s="315"/>
      <c r="H5" s="451"/>
      <c r="I5" s="315"/>
      <c r="J5" s="315"/>
      <c r="K5" s="315"/>
      <c r="L5" s="315"/>
      <c r="M5" s="315"/>
      <c r="N5" s="315"/>
      <c r="O5" s="315"/>
      <c r="P5" s="315"/>
      <c r="Q5" s="315"/>
      <c r="R5" s="311"/>
    </row>
    <row r="6" spans="1:18" ht="24.6">
      <c r="A6" s="314"/>
      <c r="B6" s="950"/>
      <c r="C6" s="950"/>
      <c r="D6" s="950"/>
      <c r="E6" s="950"/>
      <c r="F6" s="316" t="s">
        <v>392</v>
      </c>
      <c r="G6" s="310"/>
      <c r="H6" s="451"/>
      <c r="I6" s="947" t="s">
        <v>761</v>
      </c>
      <c r="J6" s="952">
        <v>1</v>
      </c>
      <c r="K6" s="317"/>
      <c r="L6" s="317"/>
      <c r="M6" s="315"/>
      <c r="N6" s="984"/>
      <c r="O6" s="950"/>
      <c r="P6" s="950"/>
      <c r="Q6" s="950"/>
      <c r="R6" s="986"/>
    </row>
    <row r="7" spans="1:18" ht="22.2">
      <c r="A7" s="314"/>
      <c r="B7" s="950"/>
      <c r="C7" s="950"/>
      <c r="D7" s="950"/>
      <c r="E7" s="950"/>
      <c r="F7" s="310"/>
      <c r="G7" s="310"/>
      <c r="H7" s="981"/>
      <c r="I7" s="948"/>
      <c r="J7" s="319"/>
      <c r="K7" s="319"/>
      <c r="L7" s="319"/>
      <c r="M7" s="315"/>
      <c r="N7" s="984"/>
      <c r="O7" s="950"/>
      <c r="P7" s="950"/>
      <c r="Q7" s="950"/>
      <c r="R7" s="986"/>
    </row>
    <row r="8" spans="1:18" ht="24.6">
      <c r="A8" s="314"/>
      <c r="B8" s="950"/>
      <c r="C8" s="950"/>
      <c r="D8" s="950"/>
      <c r="E8" s="950"/>
      <c r="F8" s="310"/>
      <c r="G8" s="310"/>
      <c r="H8" s="451"/>
      <c r="I8" s="949" t="s">
        <v>760</v>
      </c>
      <c r="J8" s="951" t="s">
        <v>762</v>
      </c>
      <c r="K8" s="950"/>
      <c r="L8" s="950"/>
      <c r="M8" s="315"/>
      <c r="N8" s="984"/>
      <c r="O8" s="950"/>
      <c r="P8" s="950"/>
      <c r="Q8" s="950"/>
      <c r="R8" s="986"/>
    </row>
    <row r="9" spans="1:18" ht="32.4">
      <c r="A9" s="314"/>
      <c r="B9" s="950"/>
      <c r="C9" s="950"/>
      <c r="D9" s="950"/>
      <c r="E9" s="950"/>
      <c r="F9" s="310"/>
      <c r="G9" s="310"/>
      <c r="H9" s="451"/>
      <c r="I9" s="351"/>
      <c r="J9" s="953" t="s">
        <v>763</v>
      </c>
      <c r="K9" s="317"/>
      <c r="L9" s="317"/>
      <c r="M9" s="315"/>
      <c r="N9" s="984"/>
      <c r="O9" s="950"/>
      <c r="P9" s="950"/>
      <c r="Q9" s="950"/>
      <c r="R9" s="986"/>
    </row>
    <row r="10" spans="1:18" ht="24.6">
      <c r="A10" s="320"/>
      <c r="B10" s="950"/>
      <c r="C10" s="950"/>
      <c r="D10" s="950"/>
      <c r="E10" s="950"/>
      <c r="F10" s="316" t="s">
        <v>354</v>
      </c>
      <c r="G10" s="310"/>
      <c r="H10" s="451"/>
      <c r="I10" s="321" t="s">
        <v>772</v>
      </c>
      <c r="J10" s="317"/>
      <c r="K10" s="317"/>
      <c r="L10" s="317"/>
      <c r="M10" s="315"/>
      <c r="N10" s="984"/>
      <c r="O10" s="950"/>
      <c r="P10" s="950"/>
      <c r="Q10" s="950"/>
      <c r="R10" s="986"/>
    </row>
    <row r="11" spans="1:18" ht="20.399999999999999">
      <c r="A11" s="320"/>
      <c r="B11" s="950"/>
      <c r="C11" s="950"/>
      <c r="D11" s="950"/>
      <c r="E11" s="950"/>
      <c r="F11" s="316"/>
      <c r="G11" s="310"/>
      <c r="H11" s="451"/>
      <c r="I11" s="322"/>
      <c r="J11" s="318"/>
      <c r="K11" s="318"/>
      <c r="L11" s="318"/>
      <c r="M11" s="315"/>
      <c r="N11" s="984"/>
      <c r="O11" s="950"/>
      <c r="P11" s="950"/>
      <c r="Q11" s="950"/>
      <c r="R11" s="986"/>
    </row>
    <row r="12" spans="1:18" ht="24.6">
      <c r="A12" s="320"/>
      <c r="B12" s="950"/>
      <c r="C12" s="950"/>
      <c r="D12" s="950"/>
      <c r="E12" s="950"/>
      <c r="F12" s="316" t="s">
        <v>355</v>
      </c>
      <c r="G12" s="310"/>
      <c r="H12" s="451"/>
      <c r="I12" s="954">
        <f ca="1">TODAY()</f>
        <v>42149</v>
      </c>
      <c r="J12" s="315"/>
      <c r="K12" s="315"/>
      <c r="L12" s="315"/>
      <c r="M12" s="310"/>
      <c r="N12" s="984"/>
      <c r="O12" s="950"/>
      <c r="P12" s="950"/>
      <c r="Q12" s="950"/>
      <c r="R12" s="986"/>
    </row>
    <row r="13" spans="1:18">
      <c r="A13" s="320"/>
      <c r="B13" s="950"/>
      <c r="C13" s="950"/>
      <c r="D13" s="950"/>
      <c r="E13" s="950"/>
      <c r="F13" s="315"/>
      <c r="G13" s="315"/>
      <c r="H13" s="451"/>
      <c r="I13" s="315"/>
      <c r="J13" s="315"/>
      <c r="K13" s="315"/>
      <c r="L13" s="315"/>
      <c r="M13" s="310"/>
      <c r="N13" s="984"/>
      <c r="O13" s="950"/>
      <c r="P13" s="950"/>
      <c r="Q13" s="950"/>
      <c r="R13" s="986"/>
    </row>
    <row r="14" spans="1:18" ht="15.6" thickBot="1">
      <c r="A14" s="320"/>
      <c r="B14" s="950"/>
      <c r="C14" s="950"/>
      <c r="D14" s="950"/>
      <c r="E14" s="950"/>
      <c r="F14" s="315"/>
      <c r="G14" s="315"/>
      <c r="H14" s="451"/>
      <c r="I14" s="310"/>
      <c r="J14" s="315"/>
      <c r="K14" s="315"/>
      <c r="L14" s="315"/>
      <c r="M14" s="310"/>
      <c r="N14" s="984"/>
      <c r="O14" s="950"/>
      <c r="P14" s="950"/>
      <c r="Q14" s="950"/>
      <c r="R14" s="986"/>
    </row>
    <row r="15" spans="1:18" ht="19.2" thickTop="1">
      <c r="A15" s="320"/>
      <c r="B15" s="950"/>
      <c r="C15" s="950"/>
      <c r="D15" s="950"/>
      <c r="E15" s="983"/>
      <c r="F15" s="315"/>
      <c r="G15" s="315"/>
      <c r="H15" s="451"/>
      <c r="I15" s="359"/>
      <c r="J15" s="323" t="s">
        <v>764</v>
      </c>
      <c r="K15" s="310"/>
      <c r="L15" s="310"/>
      <c r="M15" s="310"/>
      <c r="N15" s="984"/>
      <c r="O15" s="950"/>
      <c r="P15" s="950"/>
      <c r="Q15" s="950"/>
      <c r="R15" s="986"/>
    </row>
    <row r="16" spans="1:18">
      <c r="A16" s="320"/>
      <c r="B16" s="315"/>
      <c r="C16" s="315"/>
      <c r="D16" s="451"/>
      <c r="E16" s="982"/>
      <c r="F16" s="310"/>
      <c r="G16" s="310"/>
      <c r="H16" s="310"/>
      <c r="I16" s="315"/>
      <c r="J16" s="310"/>
      <c r="K16" s="310"/>
      <c r="L16" s="310"/>
      <c r="M16" s="310"/>
      <c r="N16" s="984"/>
      <c r="O16" s="950"/>
      <c r="P16" s="950"/>
      <c r="Q16" s="950"/>
      <c r="R16" s="986"/>
    </row>
    <row r="17" spans="1:18" ht="15.6" thickBot="1">
      <c r="A17" s="309"/>
      <c r="B17" s="310"/>
      <c r="C17" s="310"/>
      <c r="D17" s="451"/>
      <c r="E17" s="310"/>
      <c r="F17" s="310"/>
      <c r="G17" s="310"/>
      <c r="H17" s="310"/>
      <c r="I17" s="310"/>
      <c r="J17" s="310"/>
      <c r="K17" s="310"/>
      <c r="L17" s="310"/>
      <c r="M17" s="310"/>
      <c r="N17" s="985"/>
      <c r="O17" s="950"/>
      <c r="P17" s="950"/>
      <c r="Q17" s="950"/>
      <c r="R17" s="987"/>
    </row>
    <row r="18" spans="1:18" ht="23.4" thickTop="1">
      <c r="A18" s="324"/>
      <c r="B18" s="325"/>
      <c r="C18" s="325"/>
      <c r="D18" s="325"/>
      <c r="E18" s="325"/>
      <c r="F18" s="325"/>
      <c r="G18" s="325"/>
      <c r="H18" s="452"/>
      <c r="I18" s="325"/>
      <c r="J18" s="325"/>
      <c r="K18" s="325"/>
      <c r="L18" s="325"/>
      <c r="M18" s="325"/>
      <c r="N18" s="325"/>
      <c r="O18" s="325"/>
      <c r="P18" s="325"/>
      <c r="Q18" s="325"/>
      <c r="R18" s="326"/>
    </row>
    <row r="19" spans="1:18" ht="22.8">
      <c r="A19" s="327" t="s">
        <v>394</v>
      </c>
      <c r="B19" s="328" t="s">
        <v>395</v>
      </c>
      <c r="C19" s="329"/>
      <c r="D19" s="329"/>
      <c r="E19" s="329"/>
      <c r="F19" s="330"/>
      <c r="G19" s="330"/>
      <c r="H19" s="453"/>
      <c r="I19" s="330"/>
      <c r="J19" s="330"/>
      <c r="K19" s="330"/>
      <c r="L19" s="330"/>
      <c r="M19" s="330"/>
      <c r="N19" s="330"/>
      <c r="O19" s="330"/>
      <c r="P19" s="330"/>
      <c r="Q19" s="330"/>
      <c r="R19" s="331"/>
    </row>
    <row r="20" spans="1:18" ht="22.8">
      <c r="A20" s="332"/>
      <c r="B20" s="330"/>
      <c r="C20" s="330"/>
      <c r="D20" s="330"/>
      <c r="E20" s="330"/>
      <c r="F20" s="330"/>
      <c r="G20" s="330"/>
      <c r="H20" s="453"/>
      <c r="I20" s="330"/>
      <c r="J20" s="330"/>
      <c r="K20" s="330"/>
      <c r="L20" s="330"/>
      <c r="M20" s="330"/>
      <c r="N20" s="330"/>
      <c r="O20" s="330"/>
      <c r="P20" s="330"/>
      <c r="Q20" s="330"/>
      <c r="R20" s="331"/>
    </row>
    <row r="21" spans="1:18" ht="23.4" thickBot="1">
      <c r="A21" s="332"/>
      <c r="B21" s="330"/>
      <c r="C21" s="330"/>
      <c r="D21" s="330"/>
      <c r="E21" s="330"/>
      <c r="F21" s="330"/>
      <c r="G21" s="330"/>
      <c r="H21" s="453"/>
      <c r="I21" s="330"/>
      <c r="J21" s="330"/>
      <c r="K21" s="330"/>
      <c r="L21" s="330"/>
      <c r="M21" s="330"/>
      <c r="N21" s="330"/>
      <c r="O21" s="330"/>
      <c r="P21" s="330"/>
      <c r="Q21" s="330"/>
      <c r="R21" s="331"/>
    </row>
    <row r="22" spans="1:18" ht="24" thickTop="1" thickBot="1">
      <c r="A22" s="333" t="s">
        <v>396</v>
      </c>
      <c r="B22" s="334" t="s">
        <v>27</v>
      </c>
      <c r="C22" s="334"/>
      <c r="D22" s="334"/>
      <c r="E22" s="334"/>
      <c r="F22" s="330"/>
      <c r="G22" s="330"/>
      <c r="H22" s="453"/>
      <c r="I22" s="353" t="s">
        <v>212</v>
      </c>
      <c r="J22" s="332"/>
      <c r="K22" s="330"/>
      <c r="L22" s="330"/>
      <c r="M22" s="330"/>
      <c r="N22" s="330"/>
      <c r="O22" s="330"/>
      <c r="P22" s="330"/>
      <c r="Q22" s="330"/>
      <c r="R22" s="331"/>
    </row>
    <row r="23" spans="1:18" ht="24" thickTop="1" thickBot="1">
      <c r="A23" s="332"/>
      <c r="B23" s="330"/>
      <c r="C23" s="330"/>
      <c r="D23" s="330"/>
      <c r="E23" s="330"/>
      <c r="F23" s="330"/>
      <c r="G23" s="330"/>
      <c r="H23" s="453"/>
      <c r="I23" s="325"/>
      <c r="J23" s="330"/>
      <c r="K23" s="330"/>
      <c r="L23" s="330"/>
      <c r="M23" s="330"/>
      <c r="N23" s="330"/>
      <c r="O23" s="330"/>
      <c r="P23" s="330"/>
      <c r="Q23" s="330"/>
      <c r="R23" s="331"/>
    </row>
    <row r="24" spans="1:18" ht="24" thickTop="1" thickBot="1">
      <c r="A24" s="335" t="s">
        <v>398</v>
      </c>
      <c r="B24" s="336" t="s">
        <v>399</v>
      </c>
      <c r="C24" s="330"/>
      <c r="D24" s="330"/>
      <c r="E24" s="330"/>
      <c r="F24" s="330"/>
      <c r="G24" s="330"/>
      <c r="H24" s="453"/>
      <c r="I24" s="353">
        <v>360</v>
      </c>
      <c r="J24" s="332"/>
      <c r="K24" s="330"/>
      <c r="L24" s="330"/>
      <c r="M24" s="330"/>
      <c r="N24" s="330"/>
      <c r="O24" s="330"/>
      <c r="P24" s="330"/>
      <c r="Q24" s="330"/>
      <c r="R24" s="331"/>
    </row>
    <row r="25" spans="1:18" ht="24" thickTop="1" thickBot="1">
      <c r="A25" s="332"/>
      <c r="B25" s="330"/>
      <c r="C25" s="330"/>
      <c r="D25" s="330"/>
      <c r="E25" s="330"/>
      <c r="F25" s="330"/>
      <c r="G25" s="330"/>
      <c r="H25" s="453"/>
      <c r="I25" s="325"/>
      <c r="J25" s="330"/>
      <c r="K25" s="330"/>
      <c r="L25" s="330"/>
      <c r="M25" s="330"/>
      <c r="N25" s="330"/>
      <c r="O25" s="330"/>
      <c r="P25" s="330"/>
      <c r="Q25" s="330"/>
      <c r="R25" s="331"/>
    </row>
    <row r="26" spans="1:18" ht="24" thickTop="1" thickBot="1">
      <c r="A26" s="335" t="s">
        <v>400</v>
      </c>
      <c r="B26" s="336" t="s">
        <v>401</v>
      </c>
      <c r="C26" s="330"/>
      <c r="D26" s="330"/>
      <c r="E26" s="330"/>
      <c r="F26" s="330"/>
      <c r="G26" s="330"/>
      <c r="H26" s="453"/>
      <c r="I26" s="956" t="s">
        <v>765</v>
      </c>
      <c r="J26" s="332"/>
      <c r="K26" s="330"/>
      <c r="L26" s="330"/>
      <c r="M26" s="330"/>
      <c r="N26" s="330"/>
      <c r="O26" s="330"/>
      <c r="P26" s="330"/>
      <c r="Q26" s="330"/>
      <c r="R26" s="331"/>
    </row>
    <row r="27" spans="1:18" ht="24" thickTop="1" thickBot="1">
      <c r="A27" s="332"/>
      <c r="B27" s="330"/>
      <c r="C27" s="330"/>
      <c r="D27" s="330"/>
      <c r="E27" s="330"/>
      <c r="F27" s="330"/>
      <c r="G27" s="330"/>
      <c r="H27" s="453"/>
      <c r="I27" s="339"/>
      <c r="J27" s="330"/>
      <c r="K27" s="330"/>
      <c r="L27" s="330"/>
      <c r="M27" s="330"/>
      <c r="N27" s="330"/>
      <c r="O27" s="330"/>
      <c r="P27" s="330"/>
      <c r="Q27" s="330"/>
      <c r="R27" s="331"/>
    </row>
    <row r="28" spans="1:18" ht="24" thickTop="1" thickBot="1">
      <c r="A28" s="335" t="s">
        <v>402</v>
      </c>
      <c r="B28" s="336" t="s">
        <v>403</v>
      </c>
      <c r="C28" s="330"/>
      <c r="D28" s="330"/>
      <c r="E28" s="330"/>
      <c r="F28" s="330"/>
      <c r="G28" s="330"/>
      <c r="H28" s="453"/>
      <c r="I28" s="956" t="s">
        <v>592</v>
      </c>
      <c r="J28" s="332"/>
      <c r="K28" s="330"/>
      <c r="L28" s="330"/>
      <c r="M28" s="330"/>
      <c r="N28" s="330"/>
      <c r="O28" s="330"/>
      <c r="P28" s="330"/>
      <c r="Q28" s="330"/>
      <c r="R28" s="331"/>
    </row>
    <row r="29" spans="1:18" ht="24" thickTop="1" thickBot="1">
      <c r="A29" s="335"/>
      <c r="B29" s="336"/>
      <c r="C29" s="330"/>
      <c r="D29" s="330"/>
      <c r="E29" s="330"/>
      <c r="F29" s="330"/>
      <c r="G29" s="330"/>
      <c r="H29" s="453"/>
      <c r="I29" s="340"/>
      <c r="J29" s="330"/>
      <c r="K29" s="330"/>
      <c r="L29" s="330"/>
      <c r="M29" s="330"/>
      <c r="N29" s="330"/>
      <c r="O29" s="330"/>
      <c r="P29" s="330"/>
      <c r="Q29" s="330"/>
      <c r="R29" s="331"/>
    </row>
    <row r="30" spans="1:18" ht="24" thickTop="1" thickBot="1">
      <c r="A30" s="335" t="s">
        <v>404</v>
      </c>
      <c r="B30" s="336" t="s">
        <v>213</v>
      </c>
      <c r="C30" s="330"/>
      <c r="D30" s="330"/>
      <c r="E30" s="330"/>
      <c r="F30" s="330"/>
      <c r="G30" s="330"/>
      <c r="H30" s="453"/>
      <c r="I30" s="354">
        <f>sysdata!E25</f>
        <v>470</v>
      </c>
      <c r="J30" s="332"/>
      <c r="K30" s="330"/>
      <c r="L30" s="330"/>
      <c r="M30" s="330"/>
      <c r="N30" s="330"/>
      <c r="O30" s="330"/>
      <c r="P30" s="330"/>
      <c r="Q30" s="330"/>
      <c r="R30" s="331"/>
    </row>
    <row r="31" spans="1:18" ht="24" thickTop="1" thickBot="1">
      <c r="A31" s="335"/>
      <c r="B31" s="336"/>
      <c r="C31" s="330"/>
      <c r="D31" s="330"/>
      <c r="E31" s="330"/>
      <c r="F31" s="330"/>
      <c r="G31" s="330"/>
      <c r="H31" s="453"/>
      <c r="I31" s="341"/>
      <c r="J31" s="337"/>
      <c r="K31" s="330"/>
      <c r="L31" s="330"/>
      <c r="M31" s="330"/>
      <c r="N31" s="330"/>
      <c r="O31" s="330"/>
      <c r="P31" s="330"/>
      <c r="Q31" s="330"/>
      <c r="R31" s="338"/>
    </row>
    <row r="32" spans="1:18" ht="23.4" thickTop="1">
      <c r="A32" s="262"/>
      <c r="B32" s="31"/>
      <c r="C32" s="31"/>
      <c r="D32" s="31"/>
      <c r="E32" s="31"/>
      <c r="F32" s="31"/>
      <c r="G32" s="31"/>
      <c r="H32" s="454"/>
      <c r="I32" s="89"/>
      <c r="J32" s="31"/>
      <c r="K32" s="31"/>
      <c r="L32" s="31"/>
      <c r="M32" s="31"/>
      <c r="N32" s="31"/>
      <c r="O32" s="31"/>
      <c r="P32" s="31"/>
      <c r="Q32" s="31"/>
      <c r="R32" s="225"/>
    </row>
    <row r="33" spans="1:18" ht="22.8">
      <c r="A33" s="263" t="s">
        <v>406</v>
      </c>
      <c r="B33" s="34" t="s">
        <v>407</v>
      </c>
      <c r="C33" s="29"/>
      <c r="D33" s="29"/>
      <c r="E33" s="29"/>
      <c r="F33" s="29"/>
      <c r="G33" s="29"/>
      <c r="H33" s="44"/>
      <c r="I33" s="36"/>
      <c r="J33" s="29"/>
      <c r="K33" s="29"/>
      <c r="L33" s="29"/>
      <c r="M33" s="29"/>
      <c r="N33" s="29"/>
      <c r="O33" s="29"/>
      <c r="P33" s="29"/>
      <c r="Q33" s="29"/>
      <c r="R33" s="225"/>
    </row>
    <row r="34" spans="1:18" ht="23.4" thickBot="1">
      <c r="A34" s="46"/>
      <c r="B34" s="29"/>
      <c r="C34" s="29"/>
      <c r="D34" s="29"/>
      <c r="E34" s="29"/>
      <c r="F34" s="29"/>
      <c r="G34" s="29"/>
      <c r="H34" s="44"/>
      <c r="I34" s="36"/>
      <c r="J34" s="29"/>
      <c r="K34" s="29"/>
      <c r="L34" s="29"/>
      <c r="M34" s="29"/>
      <c r="N34" s="29"/>
      <c r="O34" s="29"/>
      <c r="P34" s="29"/>
      <c r="Q34" s="29"/>
      <c r="R34" s="225"/>
    </row>
    <row r="35" spans="1:18" ht="24" thickTop="1" thickBot="1">
      <c r="A35" s="264" t="s">
        <v>351</v>
      </c>
      <c r="B35" s="87" t="s">
        <v>214</v>
      </c>
      <c r="C35" s="29"/>
      <c r="D35" s="29"/>
      <c r="E35" s="29"/>
      <c r="F35" s="29"/>
      <c r="G35" s="29"/>
      <c r="H35" s="44"/>
      <c r="I35" s="355">
        <v>1</v>
      </c>
      <c r="J35" s="29"/>
      <c r="K35" s="29"/>
      <c r="L35" s="29"/>
      <c r="M35" s="29"/>
      <c r="N35" s="29"/>
      <c r="O35" s="29"/>
      <c r="P35" s="29"/>
      <c r="Q35" s="29"/>
      <c r="R35" s="225"/>
    </row>
    <row r="36" spans="1:18" ht="24" thickTop="1" thickBot="1">
      <c r="A36" s="46"/>
      <c r="B36" s="29"/>
      <c r="C36" s="29"/>
      <c r="D36" s="29"/>
      <c r="E36" s="29"/>
      <c r="F36" s="29"/>
      <c r="G36" s="29"/>
      <c r="H36" s="44"/>
      <c r="I36" s="36"/>
      <c r="J36" s="29"/>
      <c r="K36" s="29"/>
      <c r="L36" s="29">
        <f>+I43/I39</f>
        <v>2</v>
      </c>
      <c r="M36" s="29"/>
      <c r="N36" s="29"/>
      <c r="O36" s="29"/>
      <c r="P36" s="29"/>
      <c r="Q36" s="29"/>
      <c r="R36" s="225"/>
    </row>
    <row r="37" spans="1:18" ht="24" thickTop="1" thickBot="1">
      <c r="A37" s="264" t="s">
        <v>409</v>
      </c>
      <c r="B37" s="87" t="s">
        <v>215</v>
      </c>
      <c r="C37" s="29"/>
      <c r="D37" s="29"/>
      <c r="E37" s="29"/>
      <c r="F37" s="29"/>
      <c r="G37" s="29"/>
      <c r="H37" s="44"/>
      <c r="I37" s="356"/>
      <c r="J37" s="29"/>
      <c r="K37" s="29"/>
      <c r="L37" s="29"/>
      <c r="M37" s="29"/>
      <c r="N37" s="29"/>
      <c r="O37" s="29"/>
      <c r="P37" s="29"/>
      <c r="Q37" s="29"/>
      <c r="R37" s="225"/>
    </row>
    <row r="38" spans="1:18" ht="24" thickTop="1" thickBot="1">
      <c r="A38" s="46"/>
      <c r="B38" s="29"/>
      <c r="C38" s="29"/>
      <c r="D38" s="29"/>
      <c r="E38" s="29"/>
      <c r="F38" s="29"/>
      <c r="G38" s="29"/>
      <c r="H38" s="44"/>
      <c r="I38" s="36"/>
      <c r="J38" s="29"/>
      <c r="K38" s="29"/>
      <c r="L38" s="29"/>
      <c r="M38" s="29"/>
      <c r="N38" s="29"/>
      <c r="O38" s="29"/>
      <c r="P38" s="29"/>
      <c r="Q38" s="29"/>
      <c r="R38" s="225"/>
    </row>
    <row r="39" spans="1:18" ht="24" thickTop="1" thickBot="1">
      <c r="A39" s="265" t="s">
        <v>412</v>
      </c>
      <c r="B39" s="38" t="s">
        <v>68</v>
      </c>
      <c r="C39" s="29"/>
      <c r="D39" s="29"/>
      <c r="E39" s="29"/>
      <c r="F39" s="29"/>
      <c r="G39" s="29"/>
      <c r="H39" s="44"/>
      <c r="I39" s="957">
        <v>383000</v>
      </c>
      <c r="J39" s="358" t="s">
        <v>216</v>
      </c>
      <c r="K39" s="39"/>
      <c r="L39" s="29" t="s">
        <v>579</v>
      </c>
      <c r="M39" s="29"/>
      <c r="N39" s="29"/>
      <c r="O39" s="29"/>
      <c r="P39" s="29"/>
      <c r="Q39" s="29"/>
      <c r="R39" s="225"/>
    </row>
    <row r="40" spans="1:18" ht="23.4" thickTop="1">
      <c r="A40" s="266"/>
      <c r="B40" s="38"/>
      <c r="C40" s="29"/>
      <c r="D40" s="29"/>
      <c r="E40" s="29"/>
      <c r="F40" s="29"/>
      <c r="G40" s="29"/>
      <c r="H40" s="44"/>
      <c r="I40" s="151">
        <v>8</v>
      </c>
      <c r="J40" s="151"/>
      <c r="K40" s="152"/>
      <c r="L40" s="29"/>
      <c r="M40" s="29"/>
      <c r="N40" s="29"/>
      <c r="O40" s="29"/>
      <c r="P40" s="29"/>
      <c r="Q40" s="29"/>
      <c r="R40" s="225"/>
    </row>
    <row r="41" spans="1:18" ht="22.8">
      <c r="A41" s="265" t="s">
        <v>415</v>
      </c>
      <c r="B41" s="38" t="s">
        <v>69</v>
      </c>
      <c r="C41" s="29"/>
      <c r="D41" s="29"/>
      <c r="E41" s="29"/>
      <c r="F41" s="29"/>
      <c r="G41" s="29"/>
      <c r="H41" s="44"/>
      <c r="I41" s="1463">
        <f>+IF(I35=1,I39,(I39*I37))</f>
        <v>383000</v>
      </c>
      <c r="J41" s="1462" t="s">
        <v>216</v>
      </c>
      <c r="K41" s="152"/>
      <c r="L41" s="29"/>
      <c r="M41" s="29"/>
      <c r="N41" s="29"/>
      <c r="O41" s="29"/>
      <c r="P41" s="29"/>
      <c r="Q41" s="29"/>
      <c r="R41" s="225"/>
    </row>
    <row r="42" spans="1:18" ht="22.8">
      <c r="A42" s="266"/>
      <c r="B42" s="38"/>
      <c r="C42" s="29"/>
      <c r="D42" s="29"/>
      <c r="E42" s="29"/>
      <c r="F42" s="29"/>
      <c r="G42" s="29"/>
      <c r="H42" s="44"/>
      <c r="I42" s="165"/>
      <c r="J42" s="165"/>
      <c r="K42" s="152"/>
      <c r="L42" s="29"/>
      <c r="M42" s="29"/>
      <c r="N42" s="29"/>
      <c r="O42" s="29"/>
      <c r="P42" s="29"/>
      <c r="Q42" s="29"/>
      <c r="R42" s="225"/>
    </row>
    <row r="43" spans="1:18" ht="22.8">
      <c r="A43" s="265" t="s">
        <v>417</v>
      </c>
      <c r="B43" s="38" t="s">
        <v>67</v>
      </c>
      <c r="C43" s="29"/>
      <c r="D43" s="29"/>
      <c r="E43" s="29"/>
      <c r="F43" s="29"/>
      <c r="G43" s="29"/>
      <c r="H43" s="44"/>
      <c r="I43" s="1463">
        <f>+I39+I41</f>
        <v>766000</v>
      </c>
      <c r="J43" s="155" t="s">
        <v>216</v>
      </c>
      <c r="K43" s="152"/>
      <c r="L43" s="29"/>
      <c r="M43" s="29"/>
      <c r="N43" s="29"/>
      <c r="O43" s="29"/>
      <c r="P43" s="29"/>
      <c r="Q43" s="29"/>
      <c r="R43" s="225"/>
    </row>
    <row r="44" spans="1:18" ht="22.8">
      <c r="A44" s="265"/>
      <c r="B44" s="38"/>
      <c r="C44" s="29"/>
      <c r="D44" s="29"/>
      <c r="E44" s="29"/>
      <c r="F44" s="29"/>
      <c r="G44" s="29"/>
      <c r="H44" s="44"/>
      <c r="I44" s="179"/>
      <c r="J44" s="155"/>
      <c r="K44" s="152"/>
      <c r="L44" s="29"/>
      <c r="M44" s="29"/>
      <c r="N44" s="29"/>
      <c r="O44" s="29"/>
      <c r="P44" s="29"/>
      <c r="Q44" s="29"/>
      <c r="R44" s="225"/>
    </row>
    <row r="45" spans="1:18" ht="22.8">
      <c r="A45" s="266" t="s">
        <v>66</v>
      </c>
      <c r="B45" s="38" t="s">
        <v>70</v>
      </c>
      <c r="C45" s="29"/>
      <c r="D45" s="29"/>
      <c r="E45" s="29"/>
      <c r="F45" s="29"/>
      <c r="G45" s="29"/>
      <c r="H45" s="44"/>
      <c r="I45" s="888">
        <v>1100000</v>
      </c>
      <c r="J45" s="155" t="s">
        <v>216</v>
      </c>
      <c r="K45" s="152"/>
      <c r="L45" s="29"/>
      <c r="M45" s="29"/>
      <c r="N45" s="29"/>
      <c r="O45" s="29"/>
      <c r="P45" s="29"/>
      <c r="Q45" s="29"/>
      <c r="R45" s="225"/>
    </row>
    <row r="46" spans="1:18" ht="23.4" thickBot="1">
      <c r="A46" s="265"/>
      <c r="B46" s="38"/>
      <c r="C46" s="29"/>
      <c r="D46" s="29"/>
      <c r="E46" s="29"/>
      <c r="F46" s="29"/>
      <c r="G46" s="29"/>
      <c r="H46" s="44"/>
      <c r="I46" s="179"/>
      <c r="J46" s="155"/>
      <c r="K46" s="152"/>
      <c r="L46" s="29"/>
      <c r="M46" s="29"/>
      <c r="N46" s="29"/>
      <c r="O46" s="29"/>
      <c r="P46" s="29"/>
      <c r="Q46" s="29"/>
      <c r="R46" s="225"/>
    </row>
    <row r="47" spans="1:18" ht="24" thickTop="1" thickBot="1">
      <c r="A47" s="265" t="s">
        <v>420</v>
      </c>
      <c r="B47" s="38" t="s">
        <v>315</v>
      </c>
      <c r="C47" s="29"/>
      <c r="D47" s="29"/>
      <c r="E47" s="29"/>
      <c r="F47" s="29"/>
      <c r="G47" s="29"/>
      <c r="H47" s="44"/>
      <c r="I47" s="360">
        <v>291.24963332381623</v>
      </c>
      <c r="J47" s="155"/>
      <c r="K47" s="152"/>
      <c r="L47" s="29"/>
      <c r="M47" s="29" t="s">
        <v>316</v>
      </c>
      <c r="N47" s="29"/>
      <c r="O47" s="29"/>
      <c r="P47" s="29"/>
      <c r="Q47" s="29"/>
      <c r="R47" s="225"/>
    </row>
    <row r="48" spans="1:18" ht="23.4" thickTop="1">
      <c r="A48" s="266"/>
      <c r="B48" s="38"/>
      <c r="C48" s="29"/>
      <c r="D48" s="29"/>
      <c r="E48" s="29"/>
      <c r="F48" s="29"/>
      <c r="G48" s="29"/>
      <c r="H48" s="44"/>
      <c r="I48" s="165"/>
      <c r="J48" s="165"/>
      <c r="K48" s="152"/>
      <c r="L48" s="29"/>
      <c r="M48" s="29"/>
      <c r="N48" s="29"/>
      <c r="O48" s="29"/>
      <c r="P48" s="29"/>
      <c r="Q48" s="29"/>
      <c r="R48" s="225"/>
    </row>
    <row r="49" spans="1:18" ht="22.8">
      <c r="A49" s="265" t="s">
        <v>421</v>
      </c>
      <c r="B49" s="161" t="s">
        <v>217</v>
      </c>
      <c r="C49" s="35"/>
      <c r="D49" s="35"/>
      <c r="E49" s="35"/>
      <c r="F49" s="35"/>
      <c r="G49" s="35"/>
      <c r="H49" s="44"/>
      <c r="I49" s="152"/>
      <c r="J49" s="152"/>
      <c r="K49" s="29"/>
      <c r="L49" s="35"/>
      <c r="M49" s="44"/>
      <c r="N49" s="29"/>
      <c r="O49" s="29"/>
      <c r="P49" s="29"/>
      <c r="Q49" s="29"/>
      <c r="R49" s="225"/>
    </row>
    <row r="50" spans="1:18" ht="23.4" thickBot="1">
      <c r="A50" s="46"/>
      <c r="B50" s="29"/>
      <c r="C50" s="29"/>
      <c r="D50" s="29"/>
      <c r="E50" s="29"/>
      <c r="F50" s="29"/>
      <c r="G50" s="29"/>
      <c r="H50" s="44"/>
      <c r="I50" s="36"/>
      <c r="J50" s="29"/>
      <c r="K50" s="29"/>
      <c r="L50" s="29"/>
      <c r="M50" s="29"/>
      <c r="N50" s="29"/>
      <c r="O50" s="29"/>
      <c r="P50" s="29"/>
      <c r="Q50" s="29"/>
      <c r="R50" s="225"/>
    </row>
    <row r="51" spans="1:18" ht="24" thickTop="1" thickBot="1">
      <c r="A51" s="264" t="s">
        <v>422</v>
      </c>
      <c r="B51" s="87" t="s">
        <v>218</v>
      </c>
      <c r="C51" s="29"/>
      <c r="D51" s="29"/>
      <c r="E51" s="29"/>
      <c r="F51" s="29"/>
      <c r="G51" s="29"/>
      <c r="H51" s="44"/>
      <c r="I51" s="361">
        <v>0.8</v>
      </c>
      <c r="J51" s="29"/>
      <c r="K51" s="29"/>
      <c r="L51" s="29"/>
      <c r="M51" s="29"/>
      <c r="N51" s="29"/>
      <c r="O51" s="29"/>
      <c r="P51" s="29"/>
      <c r="Q51" s="29"/>
      <c r="R51" s="225"/>
    </row>
    <row r="52" spans="1:18" ht="24" thickTop="1" thickBot="1">
      <c r="A52" s="46"/>
      <c r="B52" s="29"/>
      <c r="C52" s="29"/>
      <c r="D52" s="29"/>
      <c r="E52" s="29"/>
      <c r="F52" s="29"/>
      <c r="G52" s="29"/>
      <c r="H52" s="44"/>
      <c r="I52" s="36"/>
      <c r="J52" s="29"/>
      <c r="K52" s="29"/>
      <c r="L52" s="29"/>
      <c r="M52" s="29"/>
      <c r="N52" s="29"/>
      <c r="O52" s="29"/>
      <c r="P52" s="29"/>
      <c r="Q52" s="29"/>
      <c r="R52" s="225"/>
    </row>
    <row r="53" spans="1:18" ht="24" thickTop="1" thickBot="1">
      <c r="A53" s="264" t="s">
        <v>423</v>
      </c>
      <c r="B53" s="87" t="s">
        <v>219</v>
      </c>
      <c r="C53" s="29"/>
      <c r="D53" s="29"/>
      <c r="E53" s="29"/>
      <c r="F53" s="29"/>
      <c r="G53" s="29"/>
      <c r="H53" s="44"/>
      <c r="I53" s="361">
        <v>0.8</v>
      </c>
      <c r="J53" s="29"/>
      <c r="K53" s="29"/>
      <c r="L53" s="29"/>
      <c r="M53" s="29"/>
      <c r="N53" s="29"/>
      <c r="O53" s="29"/>
      <c r="P53" s="29"/>
      <c r="Q53" s="29"/>
      <c r="R53" s="225"/>
    </row>
    <row r="54" spans="1:18" ht="23.4" thickTop="1">
      <c r="A54" s="46"/>
      <c r="B54" s="29"/>
      <c r="C54" s="29"/>
      <c r="D54" s="29"/>
      <c r="E54" s="29"/>
      <c r="F54" s="29"/>
      <c r="G54" s="29"/>
      <c r="H54" s="44"/>
      <c r="I54" s="36"/>
      <c r="J54" s="29"/>
      <c r="K54" s="29"/>
      <c r="L54" s="29"/>
      <c r="M54" s="29"/>
      <c r="N54" s="29"/>
      <c r="O54" s="29"/>
      <c r="P54" s="29"/>
      <c r="Q54" s="29"/>
      <c r="R54" s="225"/>
    </row>
    <row r="55" spans="1:18" ht="22.8">
      <c r="A55" s="266" t="s">
        <v>317</v>
      </c>
      <c r="B55" s="29"/>
      <c r="C55" s="38" t="s">
        <v>220</v>
      </c>
      <c r="D55" s="29"/>
      <c r="E55" s="29"/>
      <c r="F55" s="29"/>
      <c r="G55" s="29"/>
      <c r="H55" s="44"/>
      <c r="I55" s="155">
        <f>sysdata!F133*I53</f>
        <v>48</v>
      </c>
      <c r="J55" s="167"/>
      <c r="K55" s="29"/>
      <c r="L55" s="29"/>
      <c r="M55" s="29"/>
      <c r="N55" s="29"/>
      <c r="O55" s="29"/>
      <c r="P55" s="29"/>
      <c r="Q55" s="29"/>
      <c r="R55" s="225"/>
    </row>
    <row r="56" spans="1:18" ht="22.8">
      <c r="A56" s="46"/>
      <c r="B56" s="29"/>
      <c r="C56" s="29"/>
      <c r="D56" s="29"/>
      <c r="E56" s="29"/>
      <c r="F56" s="29"/>
      <c r="G56" s="29"/>
      <c r="H56" s="44"/>
      <c r="I56" s="89"/>
      <c r="J56" s="29"/>
      <c r="K56" s="29"/>
      <c r="L56" s="29"/>
      <c r="M56" s="29"/>
      <c r="N56" s="29"/>
      <c r="O56" s="29"/>
      <c r="P56" s="29"/>
      <c r="Q56" s="29"/>
      <c r="R56" s="225"/>
    </row>
    <row r="57" spans="1:18" ht="22.8">
      <c r="A57" s="264" t="s">
        <v>318</v>
      </c>
      <c r="B57" s="29"/>
      <c r="C57" s="87" t="s">
        <v>221</v>
      </c>
      <c r="D57" s="29"/>
      <c r="E57" s="29"/>
      <c r="F57" s="29"/>
      <c r="G57" s="29"/>
      <c r="H57" s="44"/>
      <c r="I57" s="155">
        <f>sysdata!F133*I53</f>
        <v>48</v>
      </c>
      <c r="J57" s="29"/>
      <c r="K57" s="29"/>
      <c r="L57" s="29"/>
      <c r="M57" s="29"/>
      <c r="N57" s="29"/>
      <c r="O57" s="29"/>
      <c r="P57" s="29"/>
      <c r="Q57" s="29"/>
      <c r="R57" s="225"/>
    </row>
    <row r="58" spans="1:18" ht="23.4" thickBot="1">
      <c r="A58" s="46"/>
      <c r="B58" s="29"/>
      <c r="C58" s="29"/>
      <c r="D58" s="29"/>
      <c r="E58" s="29"/>
      <c r="F58" s="29"/>
      <c r="G58" s="29"/>
      <c r="H58" s="44"/>
      <c r="I58" s="89"/>
      <c r="J58" s="29"/>
      <c r="K58" s="29"/>
      <c r="L58" s="29"/>
      <c r="M58" s="29"/>
      <c r="N58" s="29"/>
      <c r="O58" s="29"/>
      <c r="P58" s="29"/>
      <c r="Q58" s="29"/>
      <c r="R58" s="225"/>
    </row>
    <row r="59" spans="1:18" ht="23.4" thickTop="1">
      <c r="A59" s="303" t="s">
        <v>211</v>
      </c>
      <c r="B59" s="304"/>
      <c r="C59" s="304"/>
      <c r="D59" s="304"/>
      <c r="E59" s="304"/>
      <c r="F59" s="304"/>
      <c r="G59" s="304"/>
      <c r="H59" s="450"/>
      <c r="I59" s="305"/>
      <c r="J59" s="306"/>
      <c r="K59" s="307"/>
      <c r="L59" s="307"/>
      <c r="M59" s="307"/>
      <c r="N59" s="307"/>
      <c r="O59" s="307"/>
      <c r="P59" s="307"/>
      <c r="Q59" s="307"/>
      <c r="R59" s="308"/>
    </row>
    <row r="60" spans="1:18" ht="22.8">
      <c r="A60" s="46"/>
      <c r="B60" s="29"/>
      <c r="C60" s="29"/>
      <c r="D60" s="29"/>
      <c r="E60" s="29"/>
      <c r="F60" s="29"/>
      <c r="G60" s="29"/>
      <c r="H60" s="44"/>
      <c r="I60" s="89"/>
      <c r="J60" s="29"/>
      <c r="K60" s="29"/>
      <c r="L60" s="29"/>
      <c r="M60" s="29"/>
      <c r="N60" s="29"/>
      <c r="O60" s="29"/>
      <c r="P60" s="29"/>
      <c r="Q60" s="29"/>
      <c r="R60" s="225"/>
    </row>
    <row r="61" spans="1:18" ht="22.8">
      <c r="A61" s="263" t="s">
        <v>406</v>
      </c>
      <c r="B61" s="34" t="s">
        <v>208</v>
      </c>
      <c r="C61" s="29"/>
      <c r="D61" s="29"/>
      <c r="E61" s="29"/>
      <c r="F61" s="29"/>
      <c r="G61" s="29"/>
      <c r="H61" s="44"/>
      <c r="I61" s="89"/>
      <c r="J61" s="29"/>
      <c r="K61" s="29"/>
      <c r="L61" s="29"/>
      <c r="M61" s="29"/>
      <c r="N61" s="29"/>
      <c r="O61" s="29"/>
      <c r="P61" s="29"/>
      <c r="Q61" s="29"/>
      <c r="R61" s="225"/>
    </row>
    <row r="62" spans="1:18" ht="22.8">
      <c r="A62" s="46"/>
      <c r="B62" s="29"/>
      <c r="C62" s="29"/>
      <c r="D62" s="29"/>
      <c r="E62" s="29"/>
      <c r="F62" s="29"/>
      <c r="G62" s="29"/>
      <c r="H62" s="44"/>
      <c r="I62" s="89"/>
      <c r="J62" s="29"/>
      <c r="K62" s="29"/>
      <c r="L62" s="29"/>
      <c r="M62" s="29"/>
      <c r="N62" s="29"/>
      <c r="O62" s="29"/>
      <c r="P62" s="29"/>
      <c r="Q62" s="29"/>
      <c r="R62" s="225"/>
    </row>
    <row r="63" spans="1:18" ht="22.8">
      <c r="A63" s="265" t="s">
        <v>424</v>
      </c>
      <c r="B63" s="161" t="s">
        <v>222</v>
      </c>
      <c r="C63" s="29"/>
      <c r="D63" s="29"/>
      <c r="E63" s="29"/>
      <c r="F63" s="45"/>
      <c r="G63" s="45"/>
      <c r="H63" s="44"/>
      <c r="I63" s="35"/>
      <c r="J63" s="29"/>
      <c r="K63" s="38"/>
      <c r="L63" s="29"/>
      <c r="M63" s="29"/>
      <c r="N63" s="29"/>
      <c r="O63" s="29"/>
      <c r="P63" s="29"/>
      <c r="Q63" s="29"/>
      <c r="R63" s="225"/>
    </row>
    <row r="64" spans="1:18" ht="23.4" thickBot="1">
      <c r="A64" s="266"/>
      <c r="B64" s="38"/>
      <c r="C64" s="29"/>
      <c r="D64" s="29"/>
      <c r="E64" s="29"/>
      <c r="F64" s="45"/>
      <c r="G64" s="45"/>
      <c r="H64" s="44"/>
      <c r="I64" s="35"/>
      <c r="J64" s="29"/>
      <c r="K64" s="38"/>
      <c r="L64" s="29"/>
      <c r="M64" s="29"/>
      <c r="N64" s="29"/>
      <c r="O64" s="29"/>
      <c r="P64" s="29"/>
      <c r="Q64" s="29"/>
      <c r="R64" s="225"/>
    </row>
    <row r="65" spans="1:18" ht="24" thickTop="1" thickBot="1">
      <c r="A65" s="266" t="s">
        <v>319</v>
      </c>
      <c r="B65" s="38"/>
      <c r="C65" s="38" t="s">
        <v>912</v>
      </c>
      <c r="D65" s="29"/>
      <c r="E65" s="29"/>
      <c r="F65" s="45"/>
      <c r="G65" s="45"/>
      <c r="H65" s="44"/>
      <c r="I65" s="358" t="s">
        <v>766</v>
      </c>
      <c r="J65" s="46"/>
      <c r="K65" s="38"/>
      <c r="L65" s="29"/>
      <c r="M65" s="29"/>
      <c r="N65" s="29"/>
      <c r="O65" s="29"/>
      <c r="P65" s="29"/>
      <c r="Q65" s="29"/>
      <c r="R65" s="225"/>
    </row>
    <row r="66" spans="1:18" ht="24" thickTop="1" thickBot="1">
      <c r="A66" s="266"/>
      <c r="B66" s="38"/>
      <c r="C66" s="38"/>
      <c r="D66" s="29"/>
      <c r="E66" s="29"/>
      <c r="F66" s="45"/>
      <c r="G66" s="45"/>
      <c r="H66" s="44"/>
      <c r="I66" s="151"/>
      <c r="J66" s="91"/>
      <c r="K66" s="38"/>
      <c r="L66" s="29"/>
      <c r="M66" s="29"/>
      <c r="N66" s="29"/>
      <c r="O66" s="29"/>
      <c r="P66" s="29"/>
      <c r="Q66" s="29"/>
      <c r="R66" s="225"/>
    </row>
    <row r="67" spans="1:18" ht="24" thickTop="1" thickBot="1">
      <c r="A67" s="266" t="s">
        <v>320</v>
      </c>
      <c r="B67" s="38"/>
      <c r="C67" s="38" t="s">
        <v>893</v>
      </c>
      <c r="D67" s="29"/>
      <c r="E67" s="29" t="s">
        <v>919</v>
      </c>
      <c r="F67" s="45"/>
      <c r="G67" s="45"/>
      <c r="H67" s="44"/>
      <c r="I67" s="1479" t="s">
        <v>894</v>
      </c>
      <c r="J67" s="91"/>
      <c r="K67" s="38"/>
      <c r="L67" s="29"/>
      <c r="M67" s="29"/>
      <c r="N67" s="29"/>
      <c r="O67" s="29"/>
      <c r="P67" s="29"/>
      <c r="Q67" s="29"/>
      <c r="R67" s="225"/>
    </row>
    <row r="68" spans="1:18" ht="24" thickTop="1" thickBot="1">
      <c r="A68" s="46"/>
      <c r="B68" s="29"/>
      <c r="C68" s="29"/>
      <c r="D68" s="29"/>
      <c r="E68" s="29"/>
      <c r="F68" s="29"/>
      <c r="G68" s="29"/>
      <c r="H68" s="44"/>
      <c r="I68" s="33"/>
      <c r="J68" s="29"/>
      <c r="K68" s="29"/>
      <c r="L68" s="29"/>
      <c r="M68" s="29"/>
      <c r="N68" s="29"/>
      <c r="O68" s="29"/>
      <c r="P68" s="29"/>
      <c r="Q68" s="29"/>
      <c r="R68" s="225"/>
    </row>
    <row r="69" spans="1:18" ht="24" thickTop="1" thickBot="1">
      <c r="A69" s="266" t="s">
        <v>917</v>
      </c>
      <c r="B69" s="29"/>
      <c r="C69" s="38" t="s">
        <v>418</v>
      </c>
      <c r="D69" s="29"/>
      <c r="E69" s="29"/>
      <c r="F69" s="29"/>
      <c r="G69" s="35" t="s">
        <v>419</v>
      </c>
      <c r="H69" s="44"/>
      <c r="I69" s="357">
        <v>7</v>
      </c>
      <c r="J69" s="46"/>
      <c r="K69" s="29"/>
      <c r="L69" s="29"/>
      <c r="M69" s="29"/>
      <c r="N69" s="29"/>
      <c r="O69" s="29"/>
      <c r="P69" s="29"/>
      <c r="Q69" s="29"/>
      <c r="R69" s="225"/>
    </row>
    <row r="70" spans="1:18" ht="23.4" thickTop="1">
      <c r="A70" s="46"/>
      <c r="B70" s="29"/>
      <c r="C70" s="29"/>
      <c r="D70" s="29"/>
      <c r="E70" s="29"/>
      <c r="F70" s="29"/>
      <c r="G70" s="29"/>
      <c r="H70" s="44"/>
      <c r="I70" s="33"/>
      <c r="J70" s="29"/>
      <c r="K70" s="29"/>
      <c r="L70" s="29"/>
      <c r="M70" s="29"/>
      <c r="N70" s="29"/>
      <c r="O70" s="29"/>
      <c r="P70" s="29"/>
      <c r="Q70" s="29"/>
      <c r="R70" s="225"/>
    </row>
    <row r="71" spans="1:18" ht="22.8">
      <c r="A71" s="265" t="s">
        <v>426</v>
      </c>
      <c r="B71" s="38" t="s">
        <v>223</v>
      </c>
      <c r="C71" s="29"/>
      <c r="D71" s="29"/>
      <c r="E71" s="29"/>
      <c r="F71" s="29"/>
      <c r="G71" s="29"/>
      <c r="H71" s="44"/>
      <c r="I71" s="166">
        <f>sysdata!E133</f>
        <v>50</v>
      </c>
      <c r="J71" s="91"/>
      <c r="K71" s="35"/>
      <c r="L71" s="29"/>
      <c r="M71" s="29"/>
      <c r="N71" s="29"/>
      <c r="O71" s="29"/>
      <c r="P71" s="29"/>
      <c r="Q71" s="29"/>
      <c r="R71" s="225"/>
    </row>
    <row r="72" spans="1:18" ht="22.8">
      <c r="A72" s="46"/>
      <c r="B72" s="29"/>
      <c r="C72" s="29"/>
      <c r="D72" s="29"/>
      <c r="E72" s="29"/>
      <c r="F72" s="29"/>
      <c r="G72" s="29"/>
      <c r="H72" s="44"/>
      <c r="I72" s="168"/>
      <c r="J72" s="29"/>
      <c r="K72" s="29"/>
      <c r="L72" s="29"/>
      <c r="M72" s="29"/>
      <c r="N72" s="29"/>
      <c r="O72" s="29"/>
      <c r="P72" s="29"/>
      <c r="Q72" s="29"/>
      <c r="R72" s="225"/>
    </row>
    <row r="73" spans="1:18" ht="22.8">
      <c r="A73" s="264" t="s">
        <v>429</v>
      </c>
      <c r="B73" s="87" t="s">
        <v>224</v>
      </c>
      <c r="C73" s="29"/>
      <c r="D73" s="29"/>
      <c r="E73" s="29"/>
      <c r="F73" s="29"/>
      <c r="G73" s="29"/>
      <c r="H73" s="44"/>
      <c r="I73" s="166">
        <f>sysdata!E133</f>
        <v>50</v>
      </c>
      <c r="J73" s="29"/>
      <c r="K73" s="29"/>
      <c r="L73" s="29"/>
      <c r="M73" s="29"/>
      <c r="N73" s="29"/>
      <c r="O73" s="29"/>
      <c r="P73" s="29"/>
      <c r="Q73" s="29"/>
      <c r="R73" s="225"/>
    </row>
    <row r="74" spans="1:18" ht="22.8">
      <c r="A74" s="46"/>
      <c r="B74" s="29"/>
      <c r="C74" s="29"/>
      <c r="D74" s="29"/>
      <c r="E74" s="29"/>
      <c r="F74" s="29"/>
      <c r="G74" s="29"/>
      <c r="H74" s="44"/>
      <c r="I74" s="89"/>
      <c r="J74" s="29"/>
      <c r="K74" s="29"/>
      <c r="L74" s="29"/>
      <c r="M74" s="29"/>
      <c r="N74" s="29"/>
      <c r="O74" s="29"/>
      <c r="P74" s="29"/>
      <c r="Q74" s="29"/>
      <c r="R74" s="225"/>
    </row>
    <row r="75" spans="1:18" ht="22.8">
      <c r="A75" s="265" t="s">
        <v>433</v>
      </c>
      <c r="B75" s="38" t="s">
        <v>41</v>
      </c>
      <c r="C75" s="29"/>
      <c r="D75" s="29"/>
      <c r="E75" s="29"/>
      <c r="F75" s="29"/>
      <c r="G75" s="29"/>
      <c r="H75" s="44"/>
      <c r="I75" s="35"/>
      <c r="J75" s="29"/>
      <c r="K75" s="29"/>
      <c r="L75" s="29"/>
      <c r="M75" s="29"/>
      <c r="N75" s="29"/>
      <c r="O75" s="29"/>
      <c r="P75" s="29"/>
      <c r="Q75" s="29"/>
      <c r="R75" s="225"/>
    </row>
    <row r="76" spans="1:18" ht="23.4" thickBot="1">
      <c r="A76" s="46"/>
      <c r="B76" s="29"/>
      <c r="C76" s="29"/>
      <c r="D76" s="29"/>
      <c r="E76" s="29"/>
      <c r="F76" s="29"/>
      <c r="G76" s="29"/>
      <c r="H76" s="44"/>
      <c r="I76" s="35"/>
      <c r="J76" s="29"/>
      <c r="K76" s="29"/>
      <c r="L76" s="29"/>
      <c r="M76" s="29"/>
      <c r="N76" s="29"/>
      <c r="O76" s="29"/>
      <c r="P76" s="29"/>
      <c r="Q76" s="29"/>
      <c r="R76" s="225"/>
    </row>
    <row r="77" spans="1:18" ht="24" thickTop="1" thickBot="1">
      <c r="A77" s="265" t="s">
        <v>321</v>
      </c>
      <c r="B77" s="29"/>
      <c r="C77" s="38" t="s">
        <v>46</v>
      </c>
      <c r="D77" s="29"/>
      <c r="E77" s="29"/>
      <c r="F77" s="29"/>
      <c r="G77" s="29"/>
      <c r="H77" s="44"/>
      <c r="I77" s="358"/>
      <c r="J77" s="29"/>
      <c r="K77" s="29"/>
      <c r="L77" s="29"/>
      <c r="M77" s="29"/>
      <c r="N77" s="29"/>
      <c r="O77" s="29"/>
      <c r="P77" s="29"/>
      <c r="Q77" s="29"/>
      <c r="R77" s="225"/>
    </row>
    <row r="78" spans="1:18" ht="24" thickTop="1" thickBot="1">
      <c r="A78" s="265"/>
      <c r="B78" s="29"/>
      <c r="C78" s="38"/>
      <c r="D78" s="29"/>
      <c r="E78" s="29"/>
      <c r="F78" s="29"/>
      <c r="G78" s="29"/>
      <c r="H78" s="44"/>
      <c r="I78" s="151"/>
      <c r="J78" s="29"/>
      <c r="K78" s="29"/>
      <c r="L78" s="29"/>
      <c r="M78" s="29"/>
      <c r="N78" s="29"/>
      <c r="O78" s="29"/>
      <c r="P78" s="29"/>
      <c r="Q78" s="29"/>
      <c r="R78" s="225"/>
    </row>
    <row r="79" spans="1:18" ht="24" thickTop="1" thickBot="1">
      <c r="A79" s="265" t="s">
        <v>322</v>
      </c>
      <c r="B79" s="29"/>
      <c r="C79" s="38" t="s">
        <v>893</v>
      </c>
      <c r="D79" s="29"/>
      <c r="E79" s="29" t="s">
        <v>919</v>
      </c>
      <c r="F79" s="29"/>
      <c r="G79" s="29"/>
      <c r="H79" s="44"/>
      <c r="I79" s="1504"/>
      <c r="J79" s="29"/>
      <c r="K79" s="29"/>
      <c r="L79" s="29"/>
      <c r="M79" s="29"/>
      <c r="N79" s="29"/>
      <c r="O79" s="29"/>
      <c r="P79" s="29"/>
      <c r="Q79" s="29"/>
      <c r="R79" s="225"/>
    </row>
    <row r="80" spans="1:18" ht="24" thickTop="1" thickBot="1">
      <c r="A80" s="46"/>
      <c r="B80" s="29"/>
      <c r="C80" s="29"/>
      <c r="D80" s="29"/>
      <c r="E80" s="29"/>
      <c r="F80" s="29"/>
      <c r="G80" s="29"/>
      <c r="H80" s="44"/>
      <c r="I80" s="33"/>
      <c r="J80" s="29"/>
      <c r="K80" s="29"/>
      <c r="L80" s="29"/>
      <c r="M80" s="29"/>
      <c r="N80" s="29"/>
      <c r="O80" s="29"/>
      <c r="P80" s="29"/>
      <c r="Q80" s="29"/>
      <c r="R80" s="225"/>
    </row>
    <row r="81" spans="1:18" ht="24" thickTop="1" thickBot="1">
      <c r="A81" s="265" t="s">
        <v>918</v>
      </c>
      <c r="B81" s="29"/>
      <c r="C81" s="38" t="s">
        <v>418</v>
      </c>
      <c r="D81" s="29"/>
      <c r="E81" s="29"/>
      <c r="F81" s="29"/>
      <c r="G81" s="29"/>
      <c r="H81" s="44"/>
      <c r="I81" s="357"/>
      <c r="J81" s="29"/>
      <c r="K81" s="29"/>
      <c r="L81" s="29"/>
      <c r="M81" s="29"/>
      <c r="N81" s="29"/>
      <c r="O81" s="29"/>
      <c r="P81" s="29"/>
      <c r="Q81" s="29"/>
      <c r="R81" s="225"/>
    </row>
    <row r="82" spans="1:18" ht="24" thickTop="1" thickBot="1">
      <c r="A82" s="46"/>
      <c r="B82" s="29"/>
      <c r="C82" s="29"/>
      <c r="D82" s="29"/>
      <c r="E82" s="29"/>
      <c r="F82" s="29"/>
      <c r="G82" s="29"/>
      <c r="H82" s="44"/>
      <c r="I82" s="33"/>
      <c r="J82" s="29"/>
      <c r="K82" s="29"/>
      <c r="L82" s="29"/>
      <c r="M82" s="29"/>
      <c r="N82" s="29"/>
      <c r="O82" s="29"/>
      <c r="P82" s="29"/>
      <c r="Q82" s="29"/>
      <c r="R82" s="225"/>
    </row>
    <row r="83" spans="1:18" ht="23.4" thickTop="1">
      <c r="A83" s="265" t="s">
        <v>435</v>
      </c>
      <c r="B83" s="38" t="s">
        <v>425</v>
      </c>
      <c r="C83" s="29"/>
      <c r="D83" s="29"/>
      <c r="E83" s="29"/>
      <c r="F83" s="29"/>
      <c r="G83" s="29"/>
      <c r="H83" s="44"/>
      <c r="I83" s="358"/>
      <c r="J83" s="29"/>
      <c r="K83" s="29"/>
      <c r="L83" s="29"/>
      <c r="M83" s="29"/>
      <c r="N83" s="29"/>
      <c r="O83" s="29"/>
      <c r="P83" s="29"/>
      <c r="Q83" s="29"/>
      <c r="R83" s="225"/>
    </row>
    <row r="84" spans="1:18" ht="23.4" thickBot="1">
      <c r="A84" s="39"/>
      <c r="B84" s="35"/>
      <c r="C84" s="29"/>
      <c r="D84" s="29"/>
      <c r="E84" s="29"/>
      <c r="F84" s="29"/>
      <c r="G84" s="29"/>
      <c r="H84" s="44"/>
      <c r="I84" s="36"/>
      <c r="J84" s="29"/>
      <c r="K84" s="29"/>
      <c r="L84" s="29"/>
      <c r="M84" s="29"/>
      <c r="N84" s="29"/>
      <c r="O84" s="29"/>
      <c r="P84" s="29"/>
      <c r="Q84" s="29"/>
      <c r="R84" s="225"/>
    </row>
    <row r="85" spans="1:18" ht="24" thickTop="1" thickBot="1">
      <c r="A85" s="265" t="s">
        <v>445</v>
      </c>
      <c r="B85" s="38" t="s">
        <v>427</v>
      </c>
      <c r="C85" s="29"/>
      <c r="D85" s="29"/>
      <c r="E85" s="29"/>
      <c r="F85" s="29"/>
      <c r="G85" s="29"/>
      <c r="H85" s="44"/>
      <c r="I85" s="358" t="s">
        <v>414</v>
      </c>
      <c r="J85" s="46"/>
      <c r="K85" s="29"/>
      <c r="L85" s="29"/>
      <c r="M85" s="29"/>
      <c r="N85" s="29"/>
      <c r="O85" s="29"/>
      <c r="P85" s="29"/>
      <c r="Q85" s="29"/>
      <c r="R85" s="225"/>
    </row>
    <row r="86" spans="1:18" ht="23.4" thickTop="1">
      <c r="A86" s="46"/>
      <c r="B86" s="29"/>
      <c r="C86" s="29"/>
      <c r="D86" s="29"/>
      <c r="E86" s="29"/>
      <c r="F86" s="29"/>
      <c r="G86" s="29"/>
      <c r="H86" s="44"/>
      <c r="I86" s="33"/>
      <c r="J86" s="29"/>
      <c r="K86" s="29"/>
      <c r="L86" s="29"/>
      <c r="M86" s="29"/>
      <c r="N86" s="29"/>
      <c r="O86" s="29"/>
      <c r="P86" s="29"/>
      <c r="Q86" s="29"/>
      <c r="R86" s="225"/>
    </row>
    <row r="87" spans="1:18" ht="22.8">
      <c r="A87" s="265" t="s">
        <v>515</v>
      </c>
      <c r="B87" s="29"/>
      <c r="C87" s="38" t="s">
        <v>428</v>
      </c>
      <c r="D87" s="29"/>
      <c r="E87" s="29"/>
      <c r="F87" s="29"/>
      <c r="G87" s="29"/>
      <c r="H87" s="44"/>
      <c r="I87" s="48">
        <f>IF(I85="YES",40,0)</f>
        <v>0</v>
      </c>
      <c r="J87" s="29"/>
      <c r="K87" s="29"/>
      <c r="L87" s="29"/>
      <c r="M87" s="29"/>
      <c r="N87" s="29"/>
      <c r="O87" s="29"/>
      <c r="P87" s="29"/>
      <c r="Q87" s="29"/>
      <c r="R87" s="225"/>
    </row>
    <row r="88" spans="1:18" ht="22.8">
      <c r="A88" s="46"/>
      <c r="B88" s="29"/>
      <c r="C88" s="29"/>
      <c r="D88" s="29"/>
      <c r="E88" s="29"/>
      <c r="F88" s="29"/>
      <c r="G88" s="29"/>
      <c r="H88" s="44"/>
      <c r="I88" s="36"/>
      <c r="J88" s="29"/>
      <c r="K88" s="29"/>
      <c r="L88" s="29"/>
      <c r="M88" s="29"/>
      <c r="N88" s="29"/>
      <c r="O88" s="29"/>
      <c r="P88" s="29"/>
      <c r="Q88" s="29"/>
      <c r="R88" s="225"/>
    </row>
    <row r="89" spans="1:18" ht="22.8">
      <c r="A89" s="264" t="s">
        <v>446</v>
      </c>
      <c r="B89" s="87" t="s">
        <v>225</v>
      </c>
      <c r="C89" s="29"/>
      <c r="D89" s="29"/>
      <c r="E89" s="29"/>
      <c r="F89" s="29"/>
      <c r="G89" s="29"/>
      <c r="H89" s="44"/>
      <c r="I89" s="89">
        <f>+(I69*I71)+I87</f>
        <v>350</v>
      </c>
      <c r="J89" s="29"/>
      <c r="K89" s="29"/>
      <c r="L89" s="29"/>
      <c r="M89" s="29"/>
      <c r="N89" s="29"/>
      <c r="O89" s="29"/>
      <c r="P89" s="29"/>
      <c r="Q89" s="29"/>
      <c r="R89" s="225"/>
    </row>
    <row r="90" spans="1:18" ht="22.8">
      <c r="A90" s="46"/>
      <c r="B90" s="29"/>
      <c r="C90" s="29"/>
      <c r="D90" s="29"/>
      <c r="E90" s="29"/>
      <c r="F90" s="29"/>
      <c r="G90" s="29"/>
      <c r="H90" s="44"/>
      <c r="I90" s="89"/>
      <c r="J90" s="29"/>
      <c r="K90" s="29"/>
      <c r="L90" s="29"/>
      <c r="M90" s="29"/>
      <c r="N90" s="29"/>
      <c r="O90" s="29"/>
      <c r="P90" s="29"/>
      <c r="Q90" s="29"/>
      <c r="R90" s="225"/>
    </row>
    <row r="91" spans="1:18" ht="22.8">
      <c r="A91" s="264" t="s">
        <v>447</v>
      </c>
      <c r="B91" s="87" t="s">
        <v>226</v>
      </c>
      <c r="C91" s="29"/>
      <c r="D91" s="29"/>
      <c r="E91" s="29"/>
      <c r="F91" s="29"/>
      <c r="G91" s="29"/>
      <c r="H91" s="44"/>
      <c r="I91" s="89">
        <f>+(I69*I73)+I87</f>
        <v>350</v>
      </c>
      <c r="J91" s="29"/>
      <c r="K91" s="29"/>
      <c r="L91" s="29"/>
      <c r="M91" s="29"/>
      <c r="N91" s="29"/>
      <c r="O91" s="29"/>
      <c r="P91" s="29"/>
      <c r="Q91" s="29"/>
      <c r="R91" s="225"/>
    </row>
    <row r="92" spans="1:18" ht="22.8">
      <c r="A92" s="46"/>
      <c r="B92" s="29"/>
      <c r="C92" s="29"/>
      <c r="D92" s="29"/>
      <c r="E92" s="29"/>
      <c r="F92" s="29"/>
      <c r="G92" s="29"/>
      <c r="H92" s="44"/>
      <c r="I92" s="89"/>
      <c r="J92" s="29"/>
      <c r="K92" s="29"/>
      <c r="L92" s="29"/>
      <c r="M92" s="29"/>
      <c r="N92" s="29"/>
      <c r="O92" s="29"/>
      <c r="P92" s="29"/>
      <c r="Q92" s="29"/>
      <c r="R92" s="225"/>
    </row>
    <row r="93" spans="1:18" ht="22.8">
      <c r="A93" s="264" t="s">
        <v>448</v>
      </c>
      <c r="B93" s="87" t="s">
        <v>55</v>
      </c>
      <c r="C93" s="29"/>
      <c r="D93" s="29"/>
      <c r="E93" s="29"/>
      <c r="F93" s="29"/>
      <c r="G93" s="29"/>
      <c r="H93" s="44"/>
      <c r="I93" s="89">
        <f>+I89+(I81*I83)</f>
        <v>350</v>
      </c>
      <c r="J93" s="29"/>
      <c r="K93" s="29"/>
      <c r="L93" s="29"/>
      <c r="M93" s="29"/>
      <c r="N93" s="29"/>
      <c r="O93" s="29"/>
      <c r="P93" s="29"/>
      <c r="Q93" s="29"/>
      <c r="R93" s="225"/>
    </row>
    <row r="94" spans="1:18" ht="22.8">
      <c r="A94" s="264"/>
      <c r="B94" s="87"/>
      <c r="C94" s="29"/>
      <c r="D94" s="29"/>
      <c r="E94" s="29"/>
      <c r="F94" s="29"/>
      <c r="G94" s="29"/>
      <c r="H94" s="44"/>
      <c r="I94" s="89"/>
      <c r="J94" s="29"/>
      <c r="K94" s="29"/>
      <c r="L94" s="29"/>
      <c r="M94" s="29"/>
      <c r="N94" s="29"/>
      <c r="O94" s="29"/>
      <c r="P94" s="29"/>
      <c r="Q94" s="29"/>
      <c r="R94" s="225"/>
    </row>
    <row r="95" spans="1:18" ht="22.8">
      <c r="A95" s="264" t="s">
        <v>449</v>
      </c>
      <c r="B95" s="87" t="s">
        <v>227</v>
      </c>
      <c r="C95" s="29"/>
      <c r="D95" s="29"/>
      <c r="E95" s="29"/>
      <c r="F95" s="29"/>
      <c r="G95" s="29"/>
      <c r="H95" s="44"/>
      <c r="I95" s="89">
        <f>+I91+(I81*I83)</f>
        <v>350</v>
      </c>
      <c r="J95" s="29"/>
      <c r="K95" s="29"/>
      <c r="L95" s="29"/>
      <c r="M95" s="29"/>
      <c r="N95" s="29"/>
      <c r="O95" s="29"/>
      <c r="P95" s="29"/>
      <c r="Q95" s="29"/>
      <c r="R95" s="225"/>
    </row>
    <row r="96" spans="1:18" ht="22.8">
      <c r="A96" s="264"/>
      <c r="B96" s="87"/>
      <c r="C96" s="29"/>
      <c r="D96" s="29"/>
      <c r="E96" s="29"/>
      <c r="F96" s="29"/>
      <c r="G96" s="29"/>
      <c r="H96" s="44"/>
      <c r="I96" s="89"/>
      <c r="J96" s="29"/>
      <c r="K96" s="29"/>
      <c r="L96" s="29"/>
      <c r="M96" s="29"/>
      <c r="N96" s="29"/>
      <c r="O96" s="29"/>
      <c r="P96" s="29"/>
      <c r="Q96" s="29"/>
      <c r="R96" s="225"/>
    </row>
    <row r="97" spans="1:18" ht="22.8">
      <c r="A97" s="265" t="s">
        <v>450</v>
      </c>
      <c r="B97" s="38" t="s">
        <v>228</v>
      </c>
      <c r="C97" s="29"/>
      <c r="D97" s="29"/>
      <c r="E97" s="29"/>
      <c r="F97" s="29"/>
      <c r="G97" s="29"/>
      <c r="H97" s="44"/>
      <c r="I97" s="35"/>
      <c r="J97" s="35"/>
      <c r="K97" s="29"/>
      <c r="L97" s="29"/>
      <c r="M97" s="29"/>
      <c r="N97" s="29"/>
      <c r="O97" s="29"/>
      <c r="P97" s="29"/>
      <c r="Q97" s="29"/>
      <c r="R97" s="225"/>
    </row>
    <row r="98" spans="1:18" ht="22.8">
      <c r="A98" s="46"/>
      <c r="B98" s="29"/>
      <c r="C98" s="29"/>
      <c r="D98" s="29"/>
      <c r="E98" s="29"/>
      <c r="F98" s="29"/>
      <c r="G98" s="29"/>
      <c r="H98" s="44"/>
      <c r="I98" s="36"/>
      <c r="J98" s="29"/>
      <c r="K98" s="29"/>
      <c r="L98" s="29"/>
      <c r="M98" s="29"/>
      <c r="N98" s="29"/>
      <c r="O98" s="29"/>
      <c r="P98" s="29"/>
      <c r="Q98" s="29"/>
      <c r="R98" s="225"/>
    </row>
    <row r="99" spans="1:18" ht="22.8">
      <c r="A99" s="265" t="s">
        <v>57</v>
      </c>
      <c r="B99" s="29"/>
      <c r="C99" s="38" t="s">
        <v>229</v>
      </c>
      <c r="D99" s="29"/>
      <c r="E99" s="29"/>
      <c r="F99" s="29"/>
      <c r="G99" s="29"/>
      <c r="H99" s="44"/>
      <c r="I99" s="98">
        <f>+(I69-2)*I55</f>
        <v>240</v>
      </c>
      <c r="J99" s="29"/>
      <c r="K99" s="29"/>
      <c r="L99" s="29"/>
      <c r="M99" s="29"/>
      <c r="N99" s="29"/>
      <c r="O99" s="29"/>
      <c r="P99" s="29"/>
      <c r="Q99" s="29"/>
      <c r="R99" s="225"/>
    </row>
    <row r="100" spans="1:18" ht="22.8">
      <c r="A100" s="46"/>
      <c r="B100" s="29"/>
      <c r="C100" s="29"/>
      <c r="D100" s="29"/>
      <c r="E100" s="29"/>
      <c r="F100" s="29"/>
      <c r="G100" s="29"/>
      <c r="H100" s="44"/>
      <c r="I100" s="98"/>
      <c r="J100" s="29"/>
      <c r="K100" s="29"/>
      <c r="L100" s="29"/>
      <c r="M100" s="29"/>
      <c r="N100" s="29"/>
      <c r="O100" s="29"/>
      <c r="P100" s="29"/>
      <c r="Q100" s="29"/>
      <c r="R100" s="225"/>
    </row>
    <row r="101" spans="1:18" ht="22.8">
      <c r="A101" s="265" t="s">
        <v>323</v>
      </c>
      <c r="B101" s="29"/>
      <c r="C101" s="38" t="s">
        <v>230</v>
      </c>
      <c r="D101" s="29"/>
      <c r="E101" s="29"/>
      <c r="F101" s="29"/>
      <c r="G101" s="29"/>
      <c r="H101" s="44"/>
      <c r="I101" s="98">
        <f>+I57*(I69-2)</f>
        <v>240</v>
      </c>
      <c r="J101" s="29"/>
      <c r="K101" s="29"/>
      <c r="L101" s="29"/>
      <c r="M101" s="29"/>
      <c r="N101" s="29"/>
      <c r="O101" s="29"/>
      <c r="P101" s="29"/>
      <c r="Q101" s="29"/>
      <c r="R101" s="225"/>
    </row>
    <row r="102" spans="1:18" ht="22.8">
      <c r="A102" s="46"/>
      <c r="B102" s="29"/>
      <c r="C102" s="29"/>
      <c r="D102" s="29"/>
      <c r="E102" s="29"/>
      <c r="F102" s="29"/>
      <c r="G102" s="29"/>
      <c r="H102" s="44"/>
      <c r="I102" s="36"/>
      <c r="J102" s="29"/>
      <c r="K102" s="29" t="s">
        <v>7</v>
      </c>
      <c r="L102" s="29"/>
      <c r="M102" s="29" t="s">
        <v>768</v>
      </c>
      <c r="N102" s="29"/>
      <c r="O102" s="29"/>
      <c r="P102" s="29"/>
      <c r="Q102" s="29"/>
      <c r="R102" s="225"/>
    </row>
    <row r="103" spans="1:18" ht="22.8">
      <c r="A103" s="265" t="s">
        <v>324</v>
      </c>
      <c r="B103" s="29"/>
      <c r="C103" s="87" t="s">
        <v>231</v>
      </c>
      <c r="D103" s="29"/>
      <c r="E103" s="29"/>
      <c r="F103" s="29"/>
      <c r="G103" s="29"/>
      <c r="H103" s="44"/>
      <c r="I103" s="98">
        <f>+(0.5*I99)+(0.5*I101)</f>
        <v>240</v>
      </c>
      <c r="J103" s="29"/>
      <c r="K103" s="29"/>
      <c r="L103" s="29"/>
      <c r="M103" s="29" t="s">
        <v>769</v>
      </c>
      <c r="N103" s="29"/>
      <c r="O103" s="29"/>
      <c r="P103" s="29"/>
      <c r="Q103" s="29"/>
      <c r="R103" s="225"/>
    </row>
    <row r="104" spans="1:18" ht="23.4" thickBot="1">
      <c r="A104" s="46"/>
      <c r="B104" s="29"/>
      <c r="C104" s="29"/>
      <c r="D104" s="29"/>
      <c r="E104" s="29"/>
      <c r="F104" s="29"/>
      <c r="G104" s="29"/>
      <c r="H104" s="44"/>
      <c r="I104" s="36"/>
      <c r="J104" s="29"/>
      <c r="K104" s="29"/>
      <c r="L104" s="29"/>
      <c r="M104" s="29"/>
      <c r="N104" s="29"/>
      <c r="O104" s="29"/>
      <c r="P104" s="29"/>
      <c r="Q104" s="29"/>
      <c r="R104" s="225"/>
    </row>
    <row r="105" spans="1:18" ht="24" thickTop="1" thickBot="1">
      <c r="A105" s="265" t="s">
        <v>451</v>
      </c>
      <c r="B105" s="38" t="s">
        <v>434</v>
      </c>
      <c r="C105" s="29"/>
      <c r="D105" s="29"/>
      <c r="E105" s="29"/>
      <c r="F105" s="29"/>
      <c r="G105" s="29"/>
      <c r="H105" s="44"/>
      <c r="I105" s="98">
        <f>IF(I39&gt;I41,(I39/I99)*2,(I41/I101)*2)</f>
        <v>3191.6666666666665</v>
      </c>
      <c r="J105" s="29"/>
      <c r="K105" s="29">
        <f>IF(I105&gt;INT(I105)+0.2,ROUNDUP(I105,0),ROUNDDOWN(I105,0))</f>
        <v>3192</v>
      </c>
      <c r="L105" s="29"/>
      <c r="M105" s="961">
        <f>+K105/K109</f>
        <v>0.42492012779552718</v>
      </c>
      <c r="N105" s="29"/>
      <c r="O105" s="29"/>
      <c r="P105" s="29"/>
      <c r="Q105" s="29"/>
      <c r="R105" s="225"/>
    </row>
    <row r="106" spans="1:18" ht="23.4" thickTop="1">
      <c r="A106" s="265"/>
      <c r="B106" s="38"/>
      <c r="C106" s="29"/>
      <c r="D106" s="29"/>
      <c r="E106" s="29"/>
      <c r="F106" s="29"/>
      <c r="G106" s="29"/>
      <c r="H106" s="44"/>
      <c r="I106" s="98"/>
      <c r="J106" s="29"/>
      <c r="K106" s="29"/>
      <c r="L106" s="29"/>
      <c r="M106" s="29"/>
      <c r="N106" s="29"/>
      <c r="O106" s="29"/>
      <c r="P106" s="29"/>
      <c r="Q106" s="29"/>
      <c r="R106" s="225"/>
    </row>
    <row r="107" spans="1:18" ht="22.8">
      <c r="A107" s="265" t="s">
        <v>325</v>
      </c>
      <c r="B107" s="38" t="s">
        <v>87</v>
      </c>
      <c r="C107" s="29"/>
      <c r="D107" s="29"/>
      <c r="E107" s="29"/>
      <c r="F107" s="29"/>
      <c r="G107" s="29"/>
      <c r="H107" s="44"/>
      <c r="I107" s="98">
        <f>sysdata!D33+sysdata!D34+sysdata!D35</f>
        <v>4320</v>
      </c>
      <c r="J107" s="29"/>
      <c r="K107" s="29">
        <f>IF(I107&gt;INT(I107)+0.2,ROUNDUP(I107,0),ROUNDDOWN(I107,0))</f>
        <v>4320</v>
      </c>
      <c r="L107" s="29"/>
      <c r="M107" s="29"/>
      <c r="N107" s="29"/>
      <c r="O107" s="29"/>
      <c r="P107" s="29"/>
      <c r="Q107" s="29"/>
      <c r="R107" s="225"/>
    </row>
    <row r="108" spans="1:18" ht="22.8">
      <c r="A108" s="265"/>
      <c r="B108" s="38"/>
      <c r="C108" s="29"/>
      <c r="D108" s="29"/>
      <c r="E108" s="29"/>
      <c r="F108" s="29"/>
      <c r="G108" s="29"/>
      <c r="H108" s="44"/>
      <c r="I108" s="98"/>
      <c r="J108" s="29"/>
      <c r="K108" s="29"/>
      <c r="L108" s="29"/>
      <c r="M108" s="29"/>
      <c r="N108" s="29"/>
      <c r="O108" s="29"/>
      <c r="P108" s="29"/>
      <c r="Q108" s="29"/>
      <c r="R108" s="225"/>
    </row>
    <row r="109" spans="1:18" ht="23.4" thickBot="1">
      <c r="A109" s="265" t="s">
        <v>326</v>
      </c>
      <c r="B109" s="38" t="s">
        <v>88</v>
      </c>
      <c r="C109" s="29"/>
      <c r="D109" s="29"/>
      <c r="E109" s="29"/>
      <c r="F109" s="29"/>
      <c r="G109" s="29"/>
      <c r="H109" s="44"/>
      <c r="I109" s="98">
        <f>+I105+I107</f>
        <v>7511.6666666666661</v>
      </c>
      <c r="J109" s="29"/>
      <c r="K109" s="29">
        <f>IF(I109&gt;INT(I109)+0.2,ROUNDUP(I109,0),ROUNDDOWN(I109,0))</f>
        <v>7512</v>
      </c>
      <c r="L109" s="29"/>
      <c r="M109" s="29"/>
      <c r="N109" s="29"/>
      <c r="O109" s="29"/>
      <c r="P109" s="29"/>
      <c r="Q109" s="29"/>
      <c r="R109" s="225"/>
    </row>
    <row r="110" spans="1:18" ht="23.4" thickTop="1">
      <c r="A110" s="303" t="s">
        <v>211</v>
      </c>
      <c r="B110" s="304"/>
      <c r="C110" s="304"/>
      <c r="D110" s="304"/>
      <c r="E110" s="304"/>
      <c r="F110" s="304"/>
      <c r="G110" s="304"/>
      <c r="H110" s="450"/>
      <c r="I110" s="305"/>
      <c r="J110" s="306"/>
      <c r="K110" s="307"/>
      <c r="L110" s="307"/>
      <c r="M110" s="307"/>
      <c r="N110" s="307"/>
      <c r="O110" s="307"/>
      <c r="P110" s="307"/>
      <c r="Q110" s="307"/>
      <c r="R110" s="308"/>
    </row>
    <row r="111" spans="1:18" ht="22.8">
      <c r="A111" s="265"/>
      <c r="B111" s="38"/>
      <c r="C111" s="29"/>
      <c r="D111" s="29"/>
      <c r="E111" s="29"/>
      <c r="F111" s="29"/>
      <c r="G111" s="29"/>
      <c r="H111" s="44"/>
      <c r="I111" s="97"/>
      <c r="J111" s="29"/>
      <c r="K111" s="29"/>
      <c r="L111" s="29"/>
      <c r="M111" s="29"/>
      <c r="N111" s="29"/>
      <c r="O111" s="29"/>
      <c r="P111" s="29"/>
      <c r="Q111" s="29"/>
      <c r="R111" s="225"/>
    </row>
    <row r="112" spans="1:18" ht="22.8">
      <c r="A112" s="263" t="s">
        <v>406</v>
      </c>
      <c r="B112" s="34" t="s">
        <v>157</v>
      </c>
      <c r="C112" s="29"/>
      <c r="D112" s="29"/>
      <c r="E112" s="29"/>
      <c r="F112" s="29"/>
      <c r="G112" s="29"/>
      <c r="H112" s="44"/>
      <c r="I112" s="97"/>
      <c r="J112" s="29"/>
      <c r="K112" s="29"/>
      <c r="L112" s="29"/>
      <c r="M112" s="29"/>
      <c r="N112" s="29"/>
      <c r="O112" s="29"/>
      <c r="P112" s="29"/>
      <c r="Q112" s="29"/>
      <c r="R112" s="225"/>
    </row>
    <row r="113" spans="1:18" ht="22.8">
      <c r="A113" s="266"/>
      <c r="B113" s="38"/>
      <c r="C113" s="29"/>
      <c r="D113" s="29"/>
      <c r="E113" s="29"/>
      <c r="F113" s="29"/>
      <c r="G113" s="29"/>
      <c r="H113" s="44"/>
      <c r="I113" s="36"/>
      <c r="J113" s="29"/>
      <c r="K113" s="29"/>
      <c r="L113" s="29"/>
      <c r="M113" s="29"/>
      <c r="N113" s="29"/>
      <c r="O113" s="29"/>
      <c r="P113" s="29"/>
      <c r="Q113" s="29"/>
      <c r="R113" s="225"/>
    </row>
    <row r="114" spans="1:18" ht="22.8">
      <c r="A114" s="265" t="s">
        <v>452</v>
      </c>
      <c r="B114" s="163" t="s">
        <v>578</v>
      </c>
      <c r="C114" s="38"/>
      <c r="D114" s="38"/>
      <c r="E114" s="38"/>
      <c r="F114" s="29"/>
      <c r="G114" s="29"/>
      <c r="H114" s="44"/>
      <c r="I114" s="35"/>
      <c r="J114" s="29"/>
      <c r="K114" s="29"/>
      <c r="L114" s="29"/>
      <c r="M114" s="29"/>
      <c r="N114" s="29"/>
      <c r="O114" s="29"/>
      <c r="P114" s="29"/>
      <c r="Q114" s="29"/>
      <c r="R114" s="225"/>
    </row>
    <row r="115" spans="1:18" ht="23.4" thickBot="1">
      <c r="A115" s="266"/>
      <c r="B115" s="38"/>
      <c r="C115" s="38"/>
      <c r="D115" s="38"/>
      <c r="E115" s="38"/>
      <c r="F115" s="29"/>
      <c r="G115" s="29"/>
      <c r="H115" s="44"/>
      <c r="I115" s="36"/>
      <c r="J115" s="29"/>
      <c r="K115" s="29"/>
      <c r="L115" s="29"/>
      <c r="M115" s="29"/>
      <c r="N115" s="29"/>
      <c r="O115" s="29"/>
      <c r="P115" s="29"/>
      <c r="Q115" s="29"/>
      <c r="R115" s="225"/>
    </row>
    <row r="116" spans="1:18" ht="24" thickTop="1" thickBot="1">
      <c r="A116" s="265" t="s">
        <v>327</v>
      </c>
      <c r="B116" s="38"/>
      <c r="C116" s="38" t="s">
        <v>42</v>
      </c>
      <c r="D116" s="38"/>
      <c r="E116" s="38"/>
      <c r="F116" s="29"/>
      <c r="G116" s="29"/>
      <c r="H116" s="44"/>
      <c r="I116" s="358">
        <f>sysdata!J25</f>
        <v>140</v>
      </c>
      <c r="J116" s="29"/>
      <c r="M116" s="29" t="s">
        <v>576</v>
      </c>
      <c r="N116" s="29"/>
      <c r="O116" s="29"/>
      <c r="P116" s="29"/>
      <c r="Q116" s="29"/>
      <c r="R116" s="225"/>
    </row>
    <row r="117" spans="1:18" ht="24" thickTop="1" thickBot="1">
      <c r="A117" s="265" t="s">
        <v>328</v>
      </c>
      <c r="B117" s="38"/>
      <c r="C117" s="38" t="s">
        <v>437</v>
      </c>
      <c r="D117" s="38"/>
      <c r="E117" s="38"/>
      <c r="F117" s="29"/>
      <c r="G117" s="29"/>
      <c r="H117" s="44"/>
      <c r="I117" s="358">
        <f>+I30/I116</f>
        <v>3.3571428571428572</v>
      </c>
      <c r="J117" s="46"/>
      <c r="K117" s="29"/>
      <c r="L117" s="29"/>
      <c r="M117" s="29"/>
      <c r="N117" s="29"/>
      <c r="O117" s="29"/>
      <c r="P117" s="29"/>
      <c r="Q117" s="29"/>
      <c r="R117" s="225"/>
    </row>
    <row r="118" spans="1:18" ht="24" thickTop="1" thickBot="1">
      <c r="A118" s="265" t="s">
        <v>329</v>
      </c>
      <c r="B118" s="35"/>
      <c r="C118" s="38" t="s">
        <v>441</v>
      </c>
      <c r="D118" s="29"/>
      <c r="E118" s="29"/>
      <c r="F118" s="29"/>
      <c r="G118" s="29"/>
      <c r="H118" s="44"/>
      <c r="I118" s="358"/>
      <c r="J118" s="46"/>
      <c r="K118" s="29"/>
      <c r="L118" s="29"/>
      <c r="M118" s="29"/>
      <c r="N118" s="29"/>
      <c r="O118" s="29"/>
      <c r="P118" s="29"/>
      <c r="Q118" s="29"/>
      <c r="R118" s="225"/>
    </row>
    <row r="119" spans="1:18" ht="24" thickTop="1" thickBot="1">
      <c r="A119" s="265" t="s">
        <v>330</v>
      </c>
      <c r="B119" s="35"/>
      <c r="C119" s="38" t="s">
        <v>232</v>
      </c>
      <c r="D119" s="29"/>
      <c r="E119" s="29"/>
      <c r="F119" s="29"/>
      <c r="G119" s="29"/>
      <c r="H119" s="44"/>
      <c r="I119" s="358">
        <v>2</v>
      </c>
      <c r="J119" s="46"/>
      <c r="K119" s="29"/>
      <c r="L119" s="29"/>
      <c r="M119" s="29"/>
      <c r="N119" s="29"/>
      <c r="O119" s="29"/>
      <c r="P119" s="29"/>
      <c r="Q119" s="29"/>
      <c r="R119" s="225"/>
    </row>
    <row r="120" spans="1:18" ht="24" thickTop="1" thickBot="1">
      <c r="A120" s="265" t="s">
        <v>331</v>
      </c>
      <c r="B120" s="35"/>
      <c r="C120" s="38" t="s">
        <v>443</v>
      </c>
      <c r="D120" s="29"/>
      <c r="E120" s="29"/>
      <c r="F120" s="29"/>
      <c r="G120" s="29"/>
      <c r="H120" s="44"/>
      <c r="I120" s="358">
        <v>2</v>
      </c>
      <c r="J120" s="46"/>
      <c r="K120" s="29"/>
      <c r="L120" s="29"/>
      <c r="M120" s="29"/>
      <c r="N120" s="29"/>
      <c r="O120" s="29"/>
      <c r="P120" s="29"/>
      <c r="Q120" s="29"/>
      <c r="R120" s="225"/>
    </row>
    <row r="121" spans="1:18" ht="23.4" thickTop="1">
      <c r="A121" s="265" t="s">
        <v>332</v>
      </c>
      <c r="B121" s="35"/>
      <c r="C121" s="38"/>
      <c r="D121" s="38" t="s">
        <v>444</v>
      </c>
      <c r="E121" s="29"/>
      <c r="F121" s="29"/>
      <c r="G121" s="29"/>
      <c r="H121" s="44"/>
      <c r="I121" s="162">
        <f>(I117+I119+I118+I120)/24</f>
        <v>0.30654761904761907</v>
      </c>
      <c r="J121" s="29"/>
      <c r="K121" s="29"/>
      <c r="L121" s="29"/>
      <c r="M121" s="29"/>
      <c r="N121" s="29"/>
      <c r="O121" s="29"/>
      <c r="P121" s="29"/>
      <c r="Q121" s="29"/>
      <c r="R121" s="225"/>
    </row>
    <row r="122" spans="1:18" ht="22.8">
      <c r="A122" s="46"/>
      <c r="B122" s="35"/>
      <c r="C122" s="38" t="s">
        <v>419</v>
      </c>
      <c r="D122" s="29"/>
      <c r="E122" s="29"/>
      <c r="F122" s="29"/>
      <c r="G122" s="29"/>
      <c r="H122" s="44"/>
      <c r="I122" s="36"/>
      <c r="J122" s="29"/>
      <c r="K122" s="29"/>
      <c r="L122" s="29"/>
      <c r="M122" s="29"/>
      <c r="N122" s="29"/>
      <c r="O122" s="29"/>
      <c r="P122" s="29"/>
      <c r="Q122" s="29"/>
      <c r="R122" s="225"/>
    </row>
    <row r="123" spans="1:18" ht="22.8">
      <c r="A123" s="264" t="s">
        <v>453</v>
      </c>
      <c r="B123" s="205" t="s">
        <v>125</v>
      </c>
      <c r="C123" s="38"/>
      <c r="D123" s="29"/>
      <c r="E123" s="29"/>
      <c r="F123" s="29"/>
      <c r="G123" s="29"/>
      <c r="H123" s="44"/>
      <c r="I123" s="892">
        <f>+K105*I117</f>
        <v>10716</v>
      </c>
      <c r="J123" s="29"/>
      <c r="K123" s="29"/>
      <c r="L123" s="29"/>
      <c r="M123" s="29"/>
      <c r="N123" s="29"/>
      <c r="O123" s="29"/>
      <c r="P123" s="29"/>
      <c r="Q123" s="29"/>
      <c r="R123" s="225"/>
    </row>
    <row r="124" spans="1:18" ht="22.8">
      <c r="A124" s="46"/>
      <c r="B124" s="35"/>
      <c r="C124" s="38"/>
      <c r="D124" s="29"/>
      <c r="E124" s="29"/>
      <c r="F124" s="29"/>
      <c r="G124" s="29"/>
      <c r="H124" s="44"/>
      <c r="I124" s="36"/>
      <c r="J124" s="29"/>
      <c r="K124" s="29"/>
      <c r="L124" s="29"/>
      <c r="M124" s="29"/>
      <c r="N124" s="29"/>
      <c r="O124" s="29"/>
      <c r="P124" s="29"/>
      <c r="Q124" s="29"/>
      <c r="R124" s="225"/>
    </row>
    <row r="125" spans="1:18" ht="22.8">
      <c r="A125" s="265" t="s">
        <v>454</v>
      </c>
      <c r="B125" s="38" t="s">
        <v>174</v>
      </c>
      <c r="C125" s="29"/>
      <c r="D125" s="29"/>
      <c r="E125" s="29"/>
      <c r="F125" s="29"/>
      <c r="G125" s="29"/>
      <c r="H125" s="44"/>
      <c r="I125" s="36"/>
      <c r="J125" s="37"/>
      <c r="K125" s="49"/>
      <c r="L125" s="29"/>
      <c r="M125" s="29"/>
      <c r="N125" s="29"/>
      <c r="O125" s="29"/>
      <c r="P125" s="29"/>
      <c r="Q125" s="29"/>
      <c r="R125" s="225"/>
    </row>
    <row r="126" spans="1:18" ht="22.8">
      <c r="A126" s="46"/>
      <c r="B126" s="29"/>
      <c r="C126" s="29"/>
      <c r="D126" s="29"/>
      <c r="E126" s="29"/>
      <c r="F126" s="29"/>
      <c r="G126" s="29"/>
      <c r="H126" s="44"/>
      <c r="I126" s="36"/>
      <c r="J126" s="29"/>
      <c r="K126" s="29"/>
      <c r="L126" s="29"/>
      <c r="M126" s="29"/>
      <c r="N126" s="29"/>
      <c r="O126" s="29"/>
      <c r="P126" s="29"/>
      <c r="Q126" s="29"/>
      <c r="R126" s="225"/>
    </row>
    <row r="127" spans="1:18" ht="22.8">
      <c r="A127" s="265" t="s">
        <v>456</v>
      </c>
      <c r="B127" s="38" t="s">
        <v>266</v>
      </c>
      <c r="C127" s="29"/>
      <c r="D127" s="29"/>
      <c r="E127" s="29"/>
      <c r="F127" s="29"/>
      <c r="G127" s="29"/>
      <c r="H127" s="44"/>
      <c r="I127" s="36">
        <f>+I81*(I125*K105)</f>
        <v>0</v>
      </c>
      <c r="J127" s="29"/>
      <c r="K127" s="29"/>
      <c r="L127" s="29"/>
      <c r="M127" s="29"/>
      <c r="N127" s="29"/>
      <c r="O127" s="29"/>
      <c r="P127" s="29"/>
      <c r="Q127" s="29"/>
      <c r="R127" s="225"/>
    </row>
    <row r="128" spans="1:18" ht="23.4" thickBot="1">
      <c r="A128" s="46"/>
      <c r="B128" s="29"/>
      <c r="C128" s="29"/>
      <c r="D128" s="29"/>
      <c r="E128" s="29"/>
      <c r="F128" s="29"/>
      <c r="G128" s="29"/>
      <c r="H128" s="44"/>
      <c r="I128" s="36"/>
      <c r="J128" s="29"/>
      <c r="K128" s="29"/>
      <c r="L128" s="29"/>
      <c r="M128" s="29"/>
      <c r="N128" s="29"/>
      <c r="O128" s="29"/>
      <c r="P128" s="29"/>
      <c r="Q128" s="29"/>
      <c r="R128" s="225"/>
    </row>
    <row r="129" spans="1:18" ht="24" thickTop="1" thickBot="1">
      <c r="A129" s="265" t="s">
        <v>457</v>
      </c>
      <c r="B129" s="38" t="s">
        <v>176</v>
      </c>
      <c r="C129" s="29"/>
      <c r="D129" s="29"/>
      <c r="E129" s="29"/>
      <c r="F129" s="29"/>
      <c r="G129" s="29"/>
      <c r="H129" s="44"/>
      <c r="I129" s="957">
        <f>sysdata!L101-(I24*I120)</f>
        <v>6624</v>
      </c>
      <c r="J129" s="46"/>
      <c r="K129" s="29" t="s">
        <v>7</v>
      </c>
      <c r="L129" s="29"/>
      <c r="M129" s="774" t="s">
        <v>173</v>
      </c>
      <c r="N129" s="29"/>
      <c r="O129" s="29"/>
      <c r="P129" s="29"/>
      <c r="Q129" s="29"/>
      <c r="R129" s="225"/>
    </row>
    <row r="130" spans="1:18" ht="23.4" thickTop="1">
      <c r="A130" s="46"/>
      <c r="B130" s="29"/>
      <c r="C130" s="29"/>
      <c r="D130" s="29"/>
      <c r="E130" s="29"/>
      <c r="F130" s="29"/>
      <c r="G130" s="29"/>
      <c r="H130" s="44"/>
      <c r="I130" s="33"/>
      <c r="J130" s="29"/>
      <c r="K130" s="29"/>
      <c r="L130" s="29"/>
      <c r="M130" s="29"/>
      <c r="N130" s="29"/>
      <c r="O130" s="29"/>
      <c r="P130" s="29"/>
      <c r="Q130" s="29"/>
      <c r="R130" s="225"/>
    </row>
    <row r="131" spans="1:18" ht="22.8">
      <c r="A131" s="265" t="s">
        <v>458</v>
      </c>
      <c r="B131" s="38" t="s">
        <v>73</v>
      </c>
      <c r="C131" s="29"/>
      <c r="D131" s="29"/>
      <c r="E131" s="29"/>
      <c r="F131" s="29"/>
      <c r="G131" s="29"/>
      <c r="H131" s="44"/>
      <c r="I131" s="160">
        <f>I127/I129</f>
        <v>0</v>
      </c>
      <c r="J131" s="29"/>
      <c r="K131" s="29">
        <f>IF(I131&gt;INT(I131)+0.2,ROUNDUP(I131,0),ROUNDDOWN(I131,0))</f>
        <v>0</v>
      </c>
      <c r="L131" s="29"/>
      <c r="M131" s="29"/>
      <c r="N131" s="29"/>
      <c r="O131" s="29"/>
      <c r="P131" s="29"/>
      <c r="Q131" s="29"/>
      <c r="R131" s="225"/>
    </row>
    <row r="132" spans="1:18" ht="22.8">
      <c r="A132" s="266" t="s">
        <v>71</v>
      </c>
      <c r="B132" s="38" t="s">
        <v>72</v>
      </c>
      <c r="C132" s="29"/>
      <c r="D132" s="29"/>
      <c r="E132" s="29"/>
      <c r="F132" s="29"/>
      <c r="G132" s="29"/>
      <c r="H132" s="44"/>
      <c r="I132" s="160">
        <f>+I131*0.25</f>
        <v>0</v>
      </c>
      <c r="J132" s="29"/>
      <c r="K132" s="29">
        <f>IF(I132&gt;INT(I132)+0.2,ROUNDUP(I132,0),ROUNDDOWN(I132,0))</f>
        <v>0</v>
      </c>
      <c r="L132" s="29"/>
      <c r="M132" s="29"/>
      <c r="N132" s="29"/>
      <c r="O132" s="29"/>
      <c r="P132" s="29"/>
      <c r="Q132" s="29"/>
      <c r="R132" s="225"/>
    </row>
    <row r="133" spans="1:18" ht="22.8">
      <c r="A133" s="266" t="s">
        <v>74</v>
      </c>
      <c r="B133" s="38" t="s">
        <v>75</v>
      </c>
      <c r="C133" s="29"/>
      <c r="D133" s="29"/>
      <c r="E133" s="29"/>
      <c r="F133" s="29"/>
      <c r="G133" s="29"/>
      <c r="H133" s="44"/>
      <c r="I133" s="160">
        <f>SUM(I131:I132)</f>
        <v>0</v>
      </c>
      <c r="J133" s="29"/>
      <c r="K133" s="29">
        <f>SUM(K131:K132)</f>
        <v>0</v>
      </c>
      <c r="L133" s="29"/>
      <c r="M133" s="29"/>
      <c r="N133" s="29"/>
      <c r="O133" s="29"/>
      <c r="P133" s="29"/>
      <c r="Q133" s="29"/>
      <c r="R133" s="225"/>
    </row>
    <row r="134" spans="1:18" ht="22.8">
      <c r="A134" s="46"/>
      <c r="B134" s="29"/>
      <c r="C134" s="29"/>
      <c r="D134" s="29"/>
      <c r="E134" s="29"/>
      <c r="F134" s="29"/>
      <c r="G134" s="29"/>
      <c r="H134" s="44"/>
      <c r="I134" s="89"/>
      <c r="J134" s="29"/>
      <c r="K134" s="29"/>
      <c r="L134" s="29"/>
      <c r="M134" s="29"/>
      <c r="N134" s="29"/>
      <c r="O134" s="29"/>
      <c r="P134" s="29"/>
      <c r="Q134" s="29"/>
      <c r="R134" s="225"/>
    </row>
    <row r="135" spans="1:18" ht="22.8">
      <c r="A135" s="264" t="s">
        <v>461</v>
      </c>
      <c r="B135" s="87" t="s">
        <v>265</v>
      </c>
      <c r="C135" s="29"/>
      <c r="D135" s="29"/>
      <c r="E135" s="29"/>
      <c r="F135" s="29"/>
      <c r="G135" s="29"/>
      <c r="H135" s="44"/>
      <c r="I135" s="929">
        <f>+(I117+I119+I120)*I69*K105</f>
        <v>164388</v>
      </c>
      <c r="J135" s="29"/>
      <c r="K135" s="29"/>
      <c r="L135" s="29"/>
      <c r="M135" s="29"/>
      <c r="N135" s="29"/>
      <c r="O135" s="29"/>
      <c r="P135" s="29"/>
      <c r="Q135" s="29"/>
      <c r="R135" s="225"/>
    </row>
    <row r="136" spans="1:18" ht="23.4" thickBot="1">
      <c r="A136" s="46"/>
      <c r="B136" s="29"/>
      <c r="C136" s="29"/>
      <c r="D136" s="29"/>
      <c r="E136" s="29"/>
      <c r="F136" s="29"/>
      <c r="G136" s="29"/>
      <c r="H136" s="44"/>
      <c r="I136" s="89"/>
      <c r="J136" s="29"/>
      <c r="K136" s="29"/>
      <c r="L136" s="29"/>
      <c r="M136" s="29"/>
      <c r="N136" s="29"/>
      <c r="O136" s="29"/>
      <c r="P136" s="29"/>
      <c r="Q136" s="29"/>
      <c r="R136" s="225"/>
    </row>
    <row r="137" spans="1:18" ht="23.4" thickTop="1">
      <c r="A137" s="264" t="s">
        <v>463</v>
      </c>
      <c r="B137" s="87" t="s">
        <v>264</v>
      </c>
      <c r="C137" s="29"/>
      <c r="D137" s="29"/>
      <c r="E137" s="29"/>
      <c r="F137" s="29"/>
      <c r="G137" s="29"/>
      <c r="H137" s="44"/>
      <c r="I137" s="957">
        <f>sysdata!J133-(I24*I120)</f>
        <v>7164</v>
      </c>
      <c r="J137" s="29"/>
      <c r="K137" s="29"/>
      <c r="L137" s="29"/>
      <c r="M137" s="29"/>
      <c r="N137" s="29"/>
      <c r="O137" s="29"/>
      <c r="P137" s="29"/>
      <c r="Q137" s="29"/>
      <c r="R137" s="225"/>
    </row>
    <row r="138" spans="1:18" ht="22.8">
      <c r="A138" s="46"/>
      <c r="B138" s="29"/>
      <c r="C138" s="29"/>
      <c r="D138" s="29"/>
      <c r="E138" s="29"/>
      <c r="F138" s="29"/>
      <c r="G138" s="29"/>
      <c r="H138" s="44"/>
      <c r="I138" s="89"/>
      <c r="J138" s="29"/>
      <c r="K138" s="29"/>
      <c r="L138" s="29"/>
      <c r="M138" s="29"/>
      <c r="N138" s="29"/>
      <c r="O138" s="29"/>
      <c r="P138" s="29"/>
      <c r="Q138" s="29"/>
      <c r="R138" s="225"/>
    </row>
    <row r="139" spans="1:18" ht="22.8">
      <c r="A139" s="265" t="s">
        <v>464</v>
      </c>
      <c r="B139" s="38" t="s">
        <v>267</v>
      </c>
      <c r="C139" s="29"/>
      <c r="D139" s="29"/>
      <c r="E139" s="29"/>
      <c r="F139" s="29"/>
      <c r="G139" s="29"/>
      <c r="H139" s="44"/>
      <c r="I139" s="97">
        <f>+I135/I137</f>
        <v>22.946398659966498</v>
      </c>
      <c r="J139" s="30"/>
      <c r="K139" s="29">
        <f>IF(I139&gt;INT(I139)+0.2,ROUNDUP(I139,0),ROUNDDOWN(I139,0))</f>
        <v>23</v>
      </c>
      <c r="L139" s="29"/>
      <c r="M139" s="29"/>
      <c r="N139" s="29"/>
      <c r="O139" s="29"/>
      <c r="P139" s="29"/>
      <c r="Q139" s="29"/>
      <c r="R139" s="225"/>
    </row>
    <row r="140" spans="1:18" ht="22.8">
      <c r="A140" s="266" t="s">
        <v>242</v>
      </c>
      <c r="B140" s="38" t="s">
        <v>72</v>
      </c>
      <c r="C140" s="29"/>
      <c r="D140" s="29"/>
      <c r="E140" s="29"/>
      <c r="F140" s="29"/>
      <c r="G140" s="29"/>
      <c r="H140" s="44"/>
      <c r="I140" s="97">
        <f>+I139*0.25</f>
        <v>5.7365996649916244</v>
      </c>
      <c r="J140" s="30"/>
      <c r="K140" s="29">
        <f>IF(I140&gt;INT(I140)+0.2,ROUNDUP(I140,0),ROUNDDOWN(I140,0))</f>
        <v>6</v>
      </c>
      <c r="L140" s="29"/>
      <c r="M140" s="29"/>
      <c r="N140" s="29"/>
      <c r="O140" s="29"/>
      <c r="P140" s="29"/>
      <c r="Q140" s="29"/>
      <c r="R140" s="225"/>
    </row>
    <row r="141" spans="1:18" ht="22.8">
      <c r="A141" s="266" t="s">
        <v>243</v>
      </c>
      <c r="B141" s="38" t="s">
        <v>76</v>
      </c>
      <c r="C141" s="29"/>
      <c r="D141" s="29"/>
      <c r="E141" s="29"/>
      <c r="F141" s="29"/>
      <c r="G141" s="29"/>
      <c r="H141" s="44"/>
      <c r="I141" s="97">
        <f>SUM(I139:I140)</f>
        <v>28.68299832495812</v>
      </c>
      <c r="J141" s="30"/>
      <c r="K141" s="383">
        <f>SUM(K139:K140)</f>
        <v>29</v>
      </c>
      <c r="L141" s="29"/>
      <c r="M141" s="29"/>
      <c r="N141" s="29"/>
      <c r="O141" s="29"/>
      <c r="P141" s="29"/>
      <c r="Q141" s="29"/>
      <c r="R141" s="225"/>
    </row>
    <row r="142" spans="1:18" ht="22.8">
      <c r="A142" s="265"/>
      <c r="B142" s="38"/>
      <c r="C142" s="29"/>
      <c r="D142" s="29"/>
      <c r="E142" s="29"/>
      <c r="F142" s="29"/>
      <c r="G142" s="29"/>
      <c r="H142" s="44"/>
      <c r="I142" s="97"/>
      <c r="J142" s="30"/>
      <c r="K142" s="29"/>
      <c r="L142" s="29"/>
      <c r="M142" s="29"/>
      <c r="N142" s="29"/>
      <c r="O142" s="29"/>
      <c r="P142" s="29"/>
      <c r="Q142" s="29"/>
      <c r="R142" s="225"/>
    </row>
    <row r="143" spans="1:18" ht="22.8">
      <c r="A143" s="265" t="s">
        <v>466</v>
      </c>
      <c r="B143" s="38" t="s">
        <v>78</v>
      </c>
      <c r="C143" s="29"/>
      <c r="D143" s="29"/>
      <c r="E143" s="29"/>
      <c r="F143" s="29"/>
      <c r="G143" s="29"/>
      <c r="H143" s="44"/>
      <c r="I143" s="892">
        <f>+(I30*K105)/1000</f>
        <v>1500.24</v>
      </c>
      <c r="J143" s="29"/>
      <c r="K143" s="29"/>
      <c r="L143" s="29"/>
      <c r="M143" s="29"/>
      <c r="N143" s="29"/>
      <c r="O143" s="29"/>
      <c r="P143" s="29"/>
      <c r="Q143" s="29"/>
      <c r="R143" s="225"/>
    </row>
    <row r="144" spans="1:18" ht="22.8">
      <c r="A144" s="266"/>
      <c r="B144" s="38"/>
      <c r="C144" s="29"/>
      <c r="D144" s="29"/>
      <c r="E144" s="29"/>
      <c r="F144" s="29"/>
      <c r="G144" s="29"/>
      <c r="H144" s="44"/>
      <c r="I144" s="36"/>
      <c r="J144" s="29"/>
      <c r="K144" s="29"/>
      <c r="L144" s="29"/>
      <c r="M144" s="29"/>
      <c r="N144" s="29"/>
      <c r="O144" s="29"/>
      <c r="P144" s="29"/>
      <c r="Q144" s="29"/>
      <c r="R144" s="225"/>
    </row>
    <row r="145" spans="1:18" ht="22.8">
      <c r="A145" s="265" t="s">
        <v>467</v>
      </c>
      <c r="B145" s="38" t="s">
        <v>61</v>
      </c>
      <c r="C145" s="29"/>
      <c r="D145" s="29"/>
      <c r="E145" s="29"/>
      <c r="F145" s="29"/>
      <c r="G145" s="29"/>
      <c r="H145" s="44"/>
      <c r="I145" s="36">
        <f>((I30+5)*I81*K105)/1000</f>
        <v>0</v>
      </c>
      <c r="J145" s="29"/>
      <c r="K145" s="29"/>
      <c r="L145" s="29"/>
      <c r="M145" s="29"/>
      <c r="N145" s="29"/>
      <c r="O145" s="29"/>
      <c r="P145" s="29"/>
      <c r="Q145" s="29"/>
      <c r="R145" s="225"/>
    </row>
    <row r="146" spans="1:18" ht="22.8">
      <c r="A146" s="266"/>
      <c r="B146" s="38"/>
      <c r="C146" s="29"/>
      <c r="D146" s="29"/>
      <c r="E146" s="29"/>
      <c r="F146" s="29"/>
      <c r="G146" s="29"/>
      <c r="H146" s="44"/>
      <c r="I146" s="36"/>
      <c r="J146" s="29"/>
      <c r="K146" s="29"/>
      <c r="L146" s="29"/>
      <c r="M146" s="29"/>
      <c r="N146" s="29"/>
      <c r="O146" s="29"/>
      <c r="P146" s="29"/>
      <c r="Q146" s="29"/>
      <c r="R146" s="225"/>
    </row>
    <row r="147" spans="1:18" ht="22.8">
      <c r="A147" s="265" t="s">
        <v>469</v>
      </c>
      <c r="B147" s="38" t="s">
        <v>569</v>
      </c>
      <c r="C147" s="29"/>
      <c r="D147" s="29"/>
      <c r="E147" s="29"/>
      <c r="F147" s="29"/>
      <c r="G147" s="29"/>
      <c r="H147" s="44"/>
      <c r="I147" s="892">
        <f>(I30*I69*K105)/1000</f>
        <v>10501.68</v>
      </c>
      <c r="J147" s="29"/>
      <c r="K147" s="29"/>
      <c r="L147" s="29"/>
      <c r="M147" s="29"/>
      <c r="N147" s="29"/>
      <c r="O147" s="29"/>
      <c r="P147" s="29"/>
      <c r="Q147" s="29"/>
      <c r="R147" s="225"/>
    </row>
    <row r="148" spans="1:18" ht="22.8">
      <c r="A148" s="266"/>
      <c r="B148" s="38"/>
      <c r="C148" s="29"/>
      <c r="D148" s="29"/>
      <c r="E148" s="29"/>
      <c r="F148" s="29"/>
      <c r="G148" s="29"/>
      <c r="H148" s="44"/>
      <c r="I148" s="892"/>
      <c r="J148" s="29"/>
      <c r="K148" s="29"/>
      <c r="L148" s="29"/>
      <c r="M148" s="29"/>
      <c r="N148" s="29"/>
      <c r="O148" s="29"/>
      <c r="P148" s="29"/>
      <c r="Q148" s="29"/>
      <c r="R148" s="225"/>
    </row>
    <row r="149" spans="1:18" ht="22.8">
      <c r="A149" s="265" t="s">
        <v>470</v>
      </c>
      <c r="B149" s="38" t="s">
        <v>62</v>
      </c>
      <c r="C149" s="29"/>
      <c r="D149" s="29"/>
      <c r="E149" s="29"/>
      <c r="F149" s="29"/>
      <c r="G149" s="29"/>
      <c r="H149" s="44"/>
      <c r="I149" s="892">
        <f>+(K105*0.5*I30*I89)/1000+(K105*0.5*I30*I91)/1000</f>
        <v>525084</v>
      </c>
      <c r="J149" s="37"/>
      <c r="K149" s="49"/>
      <c r="L149" s="29"/>
      <c r="M149" s="29"/>
      <c r="N149" s="29"/>
      <c r="O149" s="29"/>
      <c r="P149" s="29"/>
      <c r="Q149" s="29"/>
      <c r="R149" s="225"/>
    </row>
    <row r="150" spans="1:18" ht="22.8">
      <c r="A150" s="266"/>
      <c r="B150" s="38"/>
      <c r="C150" s="29"/>
      <c r="D150" s="29"/>
      <c r="E150" s="29"/>
      <c r="F150" s="29"/>
      <c r="G150" s="29"/>
      <c r="H150" s="44"/>
      <c r="I150" s="892"/>
      <c r="J150" s="29"/>
      <c r="K150" s="29"/>
      <c r="L150" s="29"/>
      <c r="M150" s="29"/>
      <c r="N150" s="29"/>
      <c r="O150" s="29"/>
      <c r="P150" s="29"/>
      <c r="Q150" s="29"/>
      <c r="R150" s="225"/>
    </row>
    <row r="151" spans="1:18" ht="22.8">
      <c r="A151" s="265" t="s">
        <v>472</v>
      </c>
      <c r="B151" s="38" t="s">
        <v>65</v>
      </c>
      <c r="C151" s="29"/>
      <c r="D151" s="29"/>
      <c r="E151" s="29"/>
      <c r="F151" s="29"/>
      <c r="G151" s="29"/>
      <c r="H151" s="44"/>
      <c r="I151" s="892">
        <f>+(K105*0.5*I30*I93)/1000+(K105*0.5*I30*I95)/1000</f>
        <v>525084</v>
      </c>
      <c r="J151" s="37"/>
      <c r="K151" s="49"/>
      <c r="L151" s="35"/>
      <c r="M151" s="29"/>
      <c r="N151" s="29"/>
      <c r="O151" s="29"/>
      <c r="P151" s="29"/>
      <c r="Q151" s="29"/>
      <c r="R151" s="225"/>
    </row>
    <row r="152" spans="1:18" ht="23.4" thickBot="1">
      <c r="A152" s="266"/>
      <c r="B152" s="38"/>
      <c r="C152" s="29"/>
      <c r="D152" s="29"/>
      <c r="E152" s="29"/>
      <c r="F152" s="29"/>
      <c r="G152" s="29"/>
      <c r="H152" s="44"/>
      <c r="I152" s="36"/>
      <c r="J152" s="29"/>
      <c r="K152" s="29"/>
      <c r="L152" s="35"/>
      <c r="M152" s="29"/>
      <c r="N152" s="29"/>
      <c r="O152" s="29"/>
      <c r="P152" s="29"/>
      <c r="Q152" s="29"/>
      <c r="R152" s="225"/>
    </row>
    <row r="153" spans="1:18" ht="24" thickTop="1" thickBot="1">
      <c r="A153" s="265" t="s">
        <v>283</v>
      </c>
      <c r="B153" s="38" t="s">
        <v>911</v>
      </c>
      <c r="C153" s="29"/>
      <c r="D153" s="29"/>
      <c r="E153" s="29"/>
      <c r="F153" s="29"/>
      <c r="G153" s="29"/>
      <c r="H153" s="44"/>
      <c r="I153" s="958">
        <f>E418</f>
        <v>9.1363900204926018</v>
      </c>
      <c r="J153" s="46"/>
      <c r="K153" s="29"/>
      <c r="L153" s="35"/>
      <c r="M153" s="29"/>
      <c r="N153" s="29"/>
      <c r="O153" s="29"/>
      <c r="P153" s="29"/>
      <c r="Q153" s="29"/>
      <c r="R153" s="225"/>
    </row>
    <row r="154" spans="1:18" ht="24" thickTop="1" thickBot="1">
      <c r="A154" s="265"/>
      <c r="B154" s="38"/>
      <c r="C154" s="29"/>
      <c r="D154" s="29"/>
      <c r="E154" s="29"/>
      <c r="F154" s="29"/>
      <c r="G154" s="29"/>
      <c r="H154" s="44"/>
      <c r="I154" s="1477"/>
      <c r="J154" s="91"/>
      <c r="K154" s="29"/>
      <c r="L154" s="35"/>
      <c r="M154" s="29"/>
      <c r="N154" s="29"/>
      <c r="O154" s="29"/>
      <c r="P154" s="29"/>
      <c r="Q154" s="29"/>
      <c r="R154" s="225"/>
    </row>
    <row r="155" spans="1:18" ht="24" thickTop="1" thickBot="1">
      <c r="A155" s="265" t="s">
        <v>284</v>
      </c>
      <c r="B155" s="38" t="s">
        <v>910</v>
      </c>
      <c r="C155" s="29"/>
      <c r="D155" s="29"/>
      <c r="E155" s="29"/>
      <c r="F155" s="29"/>
      <c r="G155" s="29"/>
      <c r="H155" s="44"/>
      <c r="I155" s="1478">
        <f>sysdata!D133</f>
        <v>30</v>
      </c>
      <c r="J155" s="91"/>
      <c r="K155" s="29"/>
      <c r="L155" s="35"/>
      <c r="M155" s="29"/>
      <c r="N155" s="29"/>
      <c r="O155" s="29"/>
      <c r="P155" s="29"/>
      <c r="Q155" s="29"/>
      <c r="R155" s="225"/>
    </row>
    <row r="156" spans="1:18" ht="23.4" thickTop="1">
      <c r="A156" s="266"/>
      <c r="B156" s="38" t="s">
        <v>419</v>
      </c>
      <c r="C156" s="29"/>
      <c r="D156" s="29"/>
      <c r="E156" s="29"/>
      <c r="F156" s="29"/>
      <c r="G156" s="29"/>
      <c r="H156" s="44"/>
      <c r="I156" s="33"/>
      <c r="J156" s="29"/>
      <c r="K156" s="29"/>
      <c r="L156" s="35"/>
      <c r="M156" s="29"/>
      <c r="N156" s="29"/>
      <c r="O156" s="29"/>
      <c r="P156" s="29"/>
      <c r="Q156" s="29"/>
      <c r="R156" s="225"/>
    </row>
    <row r="157" spans="1:18" ht="22.8">
      <c r="A157" s="265" t="s">
        <v>474</v>
      </c>
      <c r="B157" s="38" t="s">
        <v>63</v>
      </c>
      <c r="C157" s="29"/>
      <c r="D157" s="29"/>
      <c r="E157" s="29"/>
      <c r="F157" s="29"/>
      <c r="G157" s="29"/>
      <c r="H157" s="44"/>
      <c r="I157" s="932">
        <f>IF(I67="D",I149*I153,0)</f>
        <v>4797372.2175203376</v>
      </c>
      <c r="J157" s="29"/>
      <c r="K157" s="29"/>
      <c r="L157" s="90"/>
      <c r="M157" s="29"/>
      <c r="N157" s="29"/>
      <c r="O157" s="29"/>
      <c r="P157" s="29"/>
      <c r="Q157" s="29"/>
      <c r="R157" s="225"/>
    </row>
    <row r="158" spans="1:18" ht="22.8">
      <c r="A158" s="265"/>
      <c r="B158" s="38"/>
      <c r="C158" s="29"/>
      <c r="D158" s="29"/>
      <c r="E158" s="29"/>
      <c r="F158" s="29"/>
      <c r="G158" s="29"/>
      <c r="H158" s="44"/>
      <c r="I158" s="932"/>
      <c r="J158" s="29"/>
      <c r="K158" s="29"/>
      <c r="L158" s="90"/>
      <c r="M158" s="29"/>
      <c r="N158" s="29"/>
      <c r="O158" s="29"/>
      <c r="P158" s="29"/>
      <c r="Q158" s="29"/>
      <c r="R158" s="225"/>
    </row>
    <row r="159" spans="1:18" ht="22.8">
      <c r="A159" s="265" t="s">
        <v>903</v>
      </c>
      <c r="B159" s="38" t="s">
        <v>897</v>
      </c>
      <c r="C159" s="29"/>
      <c r="D159" s="29"/>
      <c r="E159" s="29"/>
      <c r="F159" s="29"/>
      <c r="G159" s="29"/>
      <c r="H159" s="44"/>
      <c r="I159" s="932">
        <f>IF(I67="E", I149*I155,0)</f>
        <v>0</v>
      </c>
      <c r="J159" s="29"/>
      <c r="K159" s="29"/>
      <c r="L159" s="90"/>
      <c r="M159" s="29"/>
      <c r="N159" s="29"/>
      <c r="O159" s="29"/>
      <c r="P159" s="29"/>
      <c r="Q159" s="29"/>
      <c r="R159" s="225"/>
    </row>
    <row r="160" spans="1:18" ht="22.8">
      <c r="A160" s="265"/>
      <c r="B160" s="38"/>
      <c r="C160" s="29"/>
      <c r="D160" s="29"/>
      <c r="E160" s="29"/>
      <c r="F160" s="29"/>
      <c r="G160" s="29"/>
      <c r="H160" s="44"/>
      <c r="I160" s="932"/>
      <c r="J160" s="29"/>
      <c r="K160" s="29"/>
      <c r="L160" s="90"/>
      <c r="M160" s="29"/>
      <c r="N160" s="29"/>
      <c r="O160" s="29"/>
      <c r="P160" s="29"/>
      <c r="Q160" s="29"/>
      <c r="R160" s="225"/>
    </row>
    <row r="161" spans="1:18" ht="22.8">
      <c r="A161" s="265" t="s">
        <v>476</v>
      </c>
      <c r="B161" s="161" t="s">
        <v>273</v>
      </c>
      <c r="C161" s="29"/>
      <c r="D161" s="29"/>
      <c r="E161" s="29"/>
      <c r="F161" s="29"/>
      <c r="G161" s="29"/>
      <c r="H161" s="44"/>
      <c r="I161" s="169"/>
      <c r="J161" s="29"/>
      <c r="K161" s="29"/>
      <c r="L161" s="35"/>
      <c r="M161" s="29"/>
      <c r="N161" s="29"/>
      <c r="O161" s="29"/>
      <c r="P161" s="29"/>
      <c r="Q161" s="29"/>
      <c r="R161" s="225"/>
    </row>
    <row r="162" spans="1:18" ht="22.8">
      <c r="A162" s="266"/>
      <c r="B162" s="38"/>
      <c r="C162" s="29"/>
      <c r="D162" s="29"/>
      <c r="E162" s="29"/>
      <c r="F162" s="29"/>
      <c r="G162" s="29"/>
      <c r="H162" s="44"/>
      <c r="I162" s="169"/>
      <c r="J162" s="29"/>
      <c r="K162" s="29"/>
      <c r="L162" s="35"/>
      <c r="M162" s="29"/>
      <c r="N162" s="29"/>
      <c r="O162" s="29"/>
      <c r="P162" s="29"/>
      <c r="Q162" s="29"/>
      <c r="R162" s="225"/>
    </row>
    <row r="163" spans="1:18" ht="22.8">
      <c r="A163" s="266" t="s">
        <v>298</v>
      </c>
      <c r="B163" s="38" t="s">
        <v>678</v>
      </c>
      <c r="C163" s="29"/>
      <c r="D163" s="29"/>
      <c r="E163" s="29"/>
      <c r="F163" s="29"/>
      <c r="G163" s="29"/>
      <c r="H163" s="35"/>
      <c r="I163" s="932">
        <f>sysdata!F25</f>
        <v>688.2</v>
      </c>
      <c r="J163" s="29"/>
      <c r="K163" s="29"/>
      <c r="L163" s="35"/>
      <c r="M163" s="29"/>
      <c r="N163" s="29"/>
      <c r="O163" s="29"/>
      <c r="P163" s="29"/>
      <c r="Q163" s="29"/>
      <c r="R163" s="225"/>
    </row>
    <row r="164" spans="1:18" ht="23.4" thickBot="1">
      <c r="A164" s="266"/>
      <c r="B164" s="38"/>
      <c r="C164" s="29"/>
      <c r="D164" s="29"/>
      <c r="E164" s="29"/>
      <c r="F164" s="29"/>
      <c r="G164" s="29"/>
      <c r="H164" s="44"/>
      <c r="I164" s="169"/>
      <c r="J164" s="29"/>
      <c r="K164" s="29"/>
      <c r="L164" s="35"/>
      <c r="M164" s="29"/>
      <c r="N164" s="29"/>
      <c r="O164" s="29"/>
      <c r="P164" s="29"/>
      <c r="Q164" s="29"/>
      <c r="R164" s="225"/>
    </row>
    <row r="165" spans="1:18" ht="24" thickTop="1" thickBot="1">
      <c r="A165" s="265" t="s">
        <v>299</v>
      </c>
      <c r="B165" s="38" t="s">
        <v>85</v>
      </c>
      <c r="C165" s="29"/>
      <c r="D165" s="29"/>
      <c r="E165" s="29"/>
      <c r="F165" s="29"/>
      <c r="G165" s="29"/>
      <c r="H165" s="44"/>
      <c r="I165" s="362">
        <f>sysdata!E25/(sysdata!C177+sysdata!C178)</f>
        <v>117.5</v>
      </c>
      <c r="J165" s="29"/>
      <c r="K165" s="29"/>
      <c r="L165" s="35"/>
      <c r="M165" s="29"/>
      <c r="N165" s="29"/>
      <c r="O165" s="29"/>
      <c r="P165" s="29"/>
      <c r="Q165" s="29"/>
      <c r="R165" s="225"/>
    </row>
    <row r="166" spans="1:18" ht="23.4" thickTop="1">
      <c r="A166" s="266"/>
      <c r="B166" s="38"/>
      <c r="C166" s="29"/>
      <c r="D166" s="29"/>
      <c r="E166" s="29"/>
      <c r="F166" s="29"/>
      <c r="G166" s="29"/>
      <c r="H166" s="44"/>
      <c r="I166" s="169"/>
      <c r="J166" s="29"/>
      <c r="K166" s="29"/>
      <c r="L166" s="35"/>
      <c r="M166" s="29"/>
      <c r="N166" s="29"/>
      <c r="O166" s="29"/>
      <c r="P166" s="29"/>
      <c r="Q166" s="29"/>
      <c r="R166" s="225"/>
    </row>
    <row r="167" spans="1:18" ht="22.8">
      <c r="A167" s="265" t="s">
        <v>300</v>
      </c>
      <c r="B167" s="38" t="s">
        <v>86</v>
      </c>
      <c r="C167" s="29"/>
      <c r="D167" s="29"/>
      <c r="E167" s="29"/>
      <c r="F167" s="29"/>
      <c r="G167" s="29"/>
      <c r="H167" s="44"/>
      <c r="I167" s="169">
        <f>+(I30/I165)</f>
        <v>4</v>
      </c>
      <c r="J167" s="29"/>
      <c r="K167" s="29"/>
      <c r="L167" s="35"/>
      <c r="M167" s="29"/>
      <c r="N167" s="29"/>
      <c r="O167" s="29"/>
      <c r="P167" s="29"/>
      <c r="Q167" s="29"/>
      <c r="R167" s="225"/>
    </row>
    <row r="168" spans="1:18" ht="23.4" thickBot="1">
      <c r="A168" s="265"/>
      <c r="B168" s="38"/>
      <c r="C168" s="29"/>
      <c r="D168" s="29"/>
      <c r="E168" s="29"/>
      <c r="F168" s="29"/>
      <c r="G168" s="29"/>
      <c r="H168" s="44"/>
      <c r="I168" s="169"/>
      <c r="J168" s="29"/>
      <c r="K168" s="29"/>
      <c r="L168" s="35"/>
      <c r="M168" s="29"/>
      <c r="N168" s="29"/>
      <c r="O168" s="29"/>
      <c r="P168" s="29"/>
      <c r="Q168" s="29"/>
      <c r="R168" s="225"/>
    </row>
    <row r="169" spans="1:18" ht="24" thickTop="1" thickBot="1">
      <c r="A169" s="265" t="s">
        <v>302</v>
      </c>
      <c r="B169" s="38" t="s">
        <v>301</v>
      </c>
      <c r="C169" s="29"/>
      <c r="D169" s="29"/>
      <c r="E169" s="29"/>
      <c r="F169" s="29"/>
      <c r="G169" s="29"/>
      <c r="H169" s="44"/>
      <c r="I169" s="363">
        <f>M105</f>
        <v>0.42492012779552718</v>
      </c>
      <c r="J169" s="29"/>
      <c r="K169" s="29"/>
      <c r="L169" s="35"/>
      <c r="M169" s="29"/>
      <c r="N169" s="29"/>
      <c r="O169" s="29"/>
      <c r="P169" s="29"/>
      <c r="Q169" s="29"/>
      <c r="R169" s="225"/>
    </row>
    <row r="170" spans="1:18" ht="23.4" thickTop="1">
      <c r="A170" s="265"/>
      <c r="B170" s="38"/>
      <c r="C170" s="29"/>
      <c r="D170" s="29"/>
      <c r="E170" s="29"/>
      <c r="F170" s="29"/>
      <c r="G170" s="29"/>
      <c r="H170" s="44"/>
      <c r="I170" s="169"/>
      <c r="J170" s="29"/>
      <c r="K170" s="29"/>
      <c r="L170" s="35"/>
      <c r="M170" s="29"/>
      <c r="N170" s="29"/>
      <c r="O170" s="29"/>
      <c r="P170" s="29"/>
      <c r="Q170" s="29"/>
      <c r="R170" s="225"/>
    </row>
    <row r="171" spans="1:18" ht="30">
      <c r="A171" s="265" t="s">
        <v>303</v>
      </c>
      <c r="B171" s="38" t="s">
        <v>91</v>
      </c>
      <c r="C171" s="29"/>
      <c r="D171" s="29"/>
      <c r="E171" s="29"/>
      <c r="F171" s="29"/>
      <c r="G171" s="29"/>
      <c r="H171" s="44"/>
      <c r="I171" s="184" t="str">
        <f>IF(K109&gt;10000,"DOUBLE!","SINGLE!")</f>
        <v>SINGLE!</v>
      </c>
      <c r="J171" s="29"/>
      <c r="K171" s="29"/>
      <c r="L171" s="35"/>
      <c r="M171" s="29"/>
      <c r="N171" s="29"/>
      <c r="O171" s="29"/>
      <c r="P171" s="29"/>
      <c r="Q171" s="29"/>
      <c r="R171" s="225"/>
    </row>
    <row r="172" spans="1:18" ht="30.6" thickBot="1">
      <c r="A172" s="265"/>
      <c r="B172" s="38"/>
      <c r="C172" s="29"/>
      <c r="D172" s="29"/>
      <c r="E172" s="29"/>
      <c r="F172" s="29"/>
      <c r="G172" s="29"/>
      <c r="H172" s="44"/>
      <c r="I172" s="184"/>
      <c r="J172" s="29"/>
      <c r="K172" s="29"/>
      <c r="L172" s="35"/>
      <c r="M172" s="29"/>
      <c r="N172" s="29"/>
      <c r="O172" s="29"/>
      <c r="P172" s="29"/>
      <c r="Q172" s="29"/>
      <c r="R172" s="225"/>
    </row>
    <row r="173" spans="1:18" ht="24" thickTop="1" thickBot="1">
      <c r="A173" s="265" t="s">
        <v>787</v>
      </c>
      <c r="B173" s="38" t="s">
        <v>270</v>
      </c>
      <c r="C173" s="29"/>
      <c r="D173" s="29"/>
      <c r="E173" s="29"/>
      <c r="F173" s="29"/>
      <c r="G173" s="29"/>
      <c r="H173" s="44"/>
      <c r="I173" s="363">
        <f>+M105</f>
        <v>0.42492012779552718</v>
      </c>
      <c r="J173" s="29"/>
      <c r="K173" s="29"/>
      <c r="L173" s="35"/>
      <c r="M173" s="29"/>
      <c r="N173" s="29"/>
      <c r="O173" s="29"/>
      <c r="P173" s="29"/>
      <c r="Q173" s="29"/>
      <c r="R173" s="225"/>
    </row>
    <row r="174" spans="1:18" ht="30.6" thickTop="1">
      <c r="A174" s="265"/>
      <c r="B174" s="38"/>
      <c r="C174" s="29"/>
      <c r="D174" s="29"/>
      <c r="E174" s="29"/>
      <c r="F174" s="29"/>
      <c r="G174" s="29"/>
      <c r="H174" s="44"/>
      <c r="I174" s="184"/>
      <c r="J174" s="29"/>
      <c r="K174" s="29"/>
      <c r="L174" s="35"/>
      <c r="M174" s="29"/>
      <c r="N174" s="29"/>
      <c r="O174" s="29"/>
      <c r="P174" s="29"/>
      <c r="Q174" s="29"/>
      <c r="R174" s="225"/>
    </row>
    <row r="175" spans="1:18" ht="30.6" thickBot="1">
      <c r="A175" s="265"/>
      <c r="B175" s="38"/>
      <c r="C175" s="29"/>
      <c r="D175" s="29"/>
      <c r="E175" s="29"/>
      <c r="F175" s="29"/>
      <c r="G175" s="29"/>
      <c r="H175" s="44"/>
      <c r="I175" s="184"/>
      <c r="J175" s="29"/>
      <c r="K175" s="29"/>
      <c r="L175" s="35"/>
      <c r="M175" s="29"/>
      <c r="N175" s="29"/>
      <c r="O175" s="29"/>
      <c r="P175" s="29"/>
      <c r="Q175" s="29"/>
      <c r="R175" s="225"/>
    </row>
    <row r="176" spans="1:18" ht="23.4" thickTop="1">
      <c r="A176" s="303" t="s">
        <v>211</v>
      </c>
      <c r="B176" s="304"/>
      <c r="C176" s="304"/>
      <c r="D176" s="304"/>
      <c r="E176" s="304"/>
      <c r="F176" s="304"/>
      <c r="G176" s="304"/>
      <c r="H176" s="450"/>
      <c r="I176" s="305"/>
      <c r="J176" s="306"/>
      <c r="K176" s="307"/>
      <c r="L176" s="307"/>
      <c r="M176" s="307"/>
      <c r="N176" s="307"/>
      <c r="O176" s="307"/>
      <c r="P176" s="307"/>
      <c r="Q176" s="307"/>
      <c r="R176" s="308"/>
    </row>
    <row r="177" spans="1:18">
      <c r="A177" s="268"/>
      <c r="B177" s="28"/>
      <c r="C177" s="28"/>
      <c r="D177" s="28"/>
      <c r="E177" s="28"/>
      <c r="F177" s="28"/>
      <c r="G177" s="28"/>
      <c r="H177" s="455"/>
      <c r="I177" s="28"/>
      <c r="J177" s="28"/>
      <c r="K177" s="28"/>
      <c r="L177" s="28"/>
      <c r="M177" s="28"/>
      <c r="N177" s="28"/>
      <c r="O177" s="28"/>
      <c r="P177" s="28"/>
      <c r="Q177" s="28"/>
      <c r="R177" s="225"/>
    </row>
    <row r="178" spans="1:18" ht="22.8">
      <c r="A178" s="263" t="s">
        <v>459</v>
      </c>
      <c r="B178" s="34" t="s">
        <v>79</v>
      </c>
      <c r="C178" s="29"/>
      <c r="D178" s="29"/>
      <c r="E178" s="29"/>
      <c r="F178" s="29"/>
      <c r="G178" s="29"/>
      <c r="H178" s="44"/>
      <c r="I178" s="36"/>
      <c r="J178" s="29"/>
      <c r="K178" s="29"/>
      <c r="L178" s="29"/>
      <c r="M178" s="29"/>
      <c r="N178" s="29"/>
      <c r="O178" s="29"/>
      <c r="P178" s="29"/>
      <c r="Q178" s="29"/>
      <c r="R178" s="225"/>
    </row>
    <row r="179" spans="1:18" ht="23.4" thickBot="1">
      <c r="A179" s="263"/>
      <c r="B179" s="45"/>
      <c r="C179" s="29"/>
      <c r="D179" s="29"/>
      <c r="E179" s="29"/>
      <c r="F179" s="29"/>
      <c r="G179" s="29"/>
      <c r="H179" s="44"/>
      <c r="I179" s="36"/>
      <c r="J179" s="29"/>
      <c r="K179" s="29"/>
      <c r="L179" s="29"/>
      <c r="M179" s="29"/>
      <c r="N179" s="29"/>
      <c r="O179" s="29"/>
      <c r="P179" s="29"/>
      <c r="Q179" s="29"/>
      <c r="R179" s="225"/>
    </row>
    <row r="180" spans="1:18" ht="24" thickTop="1" thickBot="1">
      <c r="A180" s="263"/>
      <c r="B180" s="50"/>
      <c r="C180" s="37" t="s">
        <v>460</v>
      </c>
      <c r="D180" s="29"/>
      <c r="E180" s="29"/>
      <c r="F180" s="29"/>
      <c r="G180" s="29"/>
      <c r="H180" s="44"/>
      <c r="I180" s="358" t="s">
        <v>660</v>
      </c>
      <c r="J180" s="46"/>
      <c r="K180" s="29"/>
      <c r="L180" s="29"/>
      <c r="M180" s="165"/>
      <c r="N180" s="29"/>
      <c r="O180" s="29"/>
      <c r="P180" s="29"/>
      <c r="Q180" s="29"/>
      <c r="R180" s="225"/>
    </row>
    <row r="181" spans="1:18" ht="23.4" thickTop="1">
      <c r="A181" s="46"/>
      <c r="B181" s="29"/>
      <c r="C181" s="29"/>
      <c r="D181" s="29"/>
      <c r="E181" s="29"/>
      <c r="F181" s="29"/>
      <c r="G181" s="29"/>
      <c r="H181" s="44"/>
      <c r="I181" s="33"/>
      <c r="J181" s="29"/>
      <c r="K181" s="29"/>
      <c r="L181" s="29"/>
      <c r="M181" s="89"/>
      <c r="N181" s="29"/>
      <c r="O181" s="29"/>
      <c r="P181" s="29"/>
      <c r="Q181" s="29"/>
      <c r="R181" s="225"/>
    </row>
    <row r="182" spans="1:18" ht="22.8">
      <c r="A182" s="46"/>
      <c r="B182" s="29"/>
      <c r="C182" s="29"/>
      <c r="D182" s="29"/>
      <c r="E182" s="29"/>
      <c r="F182" s="29"/>
      <c r="G182" s="29"/>
      <c r="H182" s="44"/>
      <c r="I182" s="89"/>
      <c r="J182" s="29"/>
      <c r="K182" s="29"/>
      <c r="L182" s="29"/>
      <c r="M182" s="89"/>
      <c r="N182" s="29"/>
      <c r="O182" s="29"/>
      <c r="P182" s="29"/>
      <c r="Q182" s="29"/>
      <c r="R182" s="225"/>
    </row>
    <row r="183" spans="1:18" ht="22.8">
      <c r="A183" s="46"/>
      <c r="B183" s="29"/>
      <c r="C183" s="29"/>
      <c r="D183" s="29"/>
      <c r="E183" s="29"/>
      <c r="F183" s="29"/>
      <c r="G183" s="29"/>
      <c r="H183" s="44"/>
      <c r="I183" s="171" t="s">
        <v>80</v>
      </c>
      <c r="J183" s="172" t="s">
        <v>82</v>
      </c>
      <c r="K183" s="29"/>
      <c r="L183" s="29"/>
      <c r="M183" s="171" t="s">
        <v>81</v>
      </c>
      <c r="N183" s="29"/>
      <c r="O183" s="29"/>
      <c r="P183" s="29"/>
      <c r="Q183" s="29"/>
      <c r="R183" s="225"/>
    </row>
    <row r="184" spans="1:18" ht="22.8">
      <c r="A184" s="46"/>
      <c r="B184" s="29"/>
      <c r="C184" s="29"/>
      <c r="D184" s="29"/>
      <c r="E184" s="29"/>
      <c r="F184" s="29"/>
      <c r="G184" s="29"/>
      <c r="H184" s="44"/>
      <c r="I184" s="89"/>
      <c r="J184" s="173" t="s">
        <v>83</v>
      </c>
      <c r="K184" s="29"/>
      <c r="L184" s="29"/>
      <c r="M184" s="89"/>
      <c r="N184" s="29"/>
      <c r="O184" s="29"/>
      <c r="P184" s="29"/>
      <c r="Q184" s="29"/>
      <c r="R184" s="225"/>
    </row>
    <row r="185" spans="1:18" ht="22.8">
      <c r="A185" s="270" t="s">
        <v>526</v>
      </c>
      <c r="B185" s="88" t="s">
        <v>530</v>
      </c>
      <c r="C185" s="88"/>
      <c r="D185" s="88"/>
      <c r="E185" s="88"/>
      <c r="F185" s="88"/>
      <c r="G185" s="29"/>
      <c r="H185" s="44"/>
      <c r="I185" s="36"/>
      <c r="J185" s="29"/>
      <c r="K185" s="29"/>
      <c r="L185" s="29"/>
      <c r="M185" s="36"/>
      <c r="N185" s="29"/>
      <c r="O185" s="776" t="str">
        <f>containers!O226</f>
        <v>Notes</v>
      </c>
      <c r="P185" s="29"/>
      <c r="Q185" s="29"/>
      <c r="R185" s="225"/>
    </row>
    <row r="186" spans="1:18" ht="23.4" thickBot="1">
      <c r="A186" s="271"/>
      <c r="B186" s="88"/>
      <c r="C186" s="88"/>
      <c r="D186" s="88"/>
      <c r="E186" s="88"/>
      <c r="F186" s="88"/>
      <c r="G186" s="29"/>
      <c r="H186" s="44"/>
      <c r="I186" s="36"/>
      <c r="J186" s="29"/>
      <c r="K186" s="29"/>
      <c r="L186" s="29"/>
      <c r="M186" s="36"/>
      <c r="N186" s="29"/>
      <c r="O186" s="29"/>
      <c r="P186" s="29"/>
      <c r="Q186" s="29"/>
      <c r="R186" s="225"/>
    </row>
    <row r="187" spans="1:18" ht="24" thickTop="1" thickBot="1">
      <c r="A187" s="265" t="s">
        <v>477</v>
      </c>
      <c r="B187" s="38" t="s">
        <v>462</v>
      </c>
      <c r="C187" s="29"/>
      <c r="D187" s="29"/>
      <c r="E187" s="29"/>
      <c r="F187" s="29"/>
      <c r="G187" s="29"/>
      <c r="H187" s="44"/>
      <c r="I187" s="358">
        <f>sysdata!C151</f>
        <v>372.34042553191489</v>
      </c>
      <c r="J187" s="46"/>
      <c r="K187" s="365">
        <v>0.87227414330218067</v>
      </c>
      <c r="L187" s="29"/>
      <c r="M187" s="155">
        <f>+I187*K187</f>
        <v>324.78292569762044</v>
      </c>
      <c r="N187" s="29"/>
      <c r="O187" s="998" t="s">
        <v>715</v>
      </c>
      <c r="P187" s="29"/>
      <c r="Q187" s="29"/>
      <c r="R187" s="225"/>
    </row>
    <row r="188" spans="1:18" ht="24" thickTop="1" thickBot="1">
      <c r="A188" s="46"/>
      <c r="B188" s="29"/>
      <c r="C188" s="29"/>
      <c r="D188" s="29"/>
      <c r="E188" s="29"/>
      <c r="F188" s="29"/>
      <c r="G188" s="29"/>
      <c r="H188" s="44"/>
      <c r="I188" s="33"/>
      <c r="J188" s="29"/>
      <c r="K188" s="29"/>
      <c r="L188" s="29"/>
      <c r="M188" s="89"/>
      <c r="N188" s="29"/>
      <c r="O188" s="998" t="s">
        <v>716</v>
      </c>
      <c r="P188" s="29"/>
      <c r="Q188" s="29"/>
      <c r="R188" s="225"/>
    </row>
    <row r="189" spans="1:18" ht="24" thickTop="1" thickBot="1">
      <c r="A189" s="265" t="s">
        <v>479</v>
      </c>
      <c r="B189" s="38" t="s">
        <v>465</v>
      </c>
      <c r="C189" s="35"/>
      <c r="D189" s="35"/>
      <c r="E189" s="35"/>
      <c r="F189" s="29"/>
      <c r="G189" s="29"/>
      <c r="H189" s="44"/>
      <c r="I189" s="364">
        <f>sysdata!C169</f>
        <v>0.97911227154046998</v>
      </c>
      <c r="J189" s="46"/>
      <c r="K189" s="366">
        <f>containers!K196</f>
        <v>0.85</v>
      </c>
      <c r="L189" s="29"/>
      <c r="M189" s="174">
        <f>+I189*K189</f>
        <v>0.8322454308093995</v>
      </c>
      <c r="N189" s="29"/>
      <c r="O189" s="998" t="str">
        <f>containers!O196</f>
        <v>No fuel subsidy assumed. Therefore, SPF is retail price less taxes (assumed to be 15%).</v>
      </c>
      <c r="P189" s="29"/>
      <c r="Q189" s="29"/>
      <c r="R189" s="225"/>
    </row>
    <row r="190" spans="1:18" ht="24" thickTop="1" thickBot="1">
      <c r="A190" s="265"/>
      <c r="B190" s="38"/>
      <c r="C190" s="35"/>
      <c r="D190" s="35"/>
      <c r="E190" s="35"/>
      <c r="F190" s="29"/>
      <c r="G190" s="29"/>
      <c r="H190" s="44"/>
      <c r="I190" s="181"/>
      <c r="J190" s="91"/>
      <c r="K190" s="182"/>
      <c r="L190" s="29"/>
      <c r="M190" s="174"/>
      <c r="N190" s="29"/>
      <c r="O190" s="998"/>
      <c r="P190" s="29"/>
      <c r="Q190" s="29"/>
      <c r="R190" s="225"/>
    </row>
    <row r="191" spans="1:18" ht="24" thickTop="1" thickBot="1">
      <c r="A191" s="265" t="s">
        <v>913</v>
      </c>
      <c r="B191" s="38" t="s">
        <v>891</v>
      </c>
      <c r="C191" s="35"/>
      <c r="D191" s="35"/>
      <c r="E191" s="35"/>
      <c r="F191" s="29"/>
      <c r="G191" s="29"/>
      <c r="H191" s="44"/>
      <c r="I191" s="1480">
        <f>sysdata!C170</f>
        <v>7.0000000000000007E-2</v>
      </c>
      <c r="J191" s="91"/>
      <c r="K191" s="366"/>
      <c r="L191" s="29"/>
      <c r="M191" s="174"/>
      <c r="N191" s="29"/>
      <c r="O191" s="998"/>
      <c r="P191" s="29"/>
      <c r="Q191" s="29"/>
      <c r="R191" s="225"/>
    </row>
    <row r="192" spans="1:18" ht="24" thickTop="1" thickBot="1">
      <c r="A192" s="46"/>
      <c r="B192" s="29"/>
      <c r="C192" s="29"/>
      <c r="D192" s="29"/>
      <c r="E192" s="29"/>
      <c r="F192" s="29"/>
      <c r="G192" s="29"/>
      <c r="H192" s="44"/>
      <c r="I192" s="33"/>
      <c r="J192" s="29"/>
      <c r="K192" s="29"/>
      <c r="L192" s="29"/>
      <c r="M192" s="89"/>
      <c r="N192" s="29"/>
      <c r="O192" s="996"/>
      <c r="P192" s="29"/>
      <c r="Q192" s="29"/>
      <c r="R192" s="225"/>
    </row>
    <row r="193" spans="1:18" ht="24" thickTop="1" thickBot="1">
      <c r="A193" s="265" t="s">
        <v>480</v>
      </c>
      <c r="B193" s="38" t="s">
        <v>468</v>
      </c>
      <c r="C193" s="29"/>
      <c r="D193" s="29"/>
      <c r="E193" s="29"/>
      <c r="F193" s="29"/>
      <c r="G193" s="29"/>
      <c r="H193" s="44"/>
      <c r="I193" s="364">
        <f>sysdata!J66</f>
        <v>1.1427777777777779</v>
      </c>
      <c r="J193" s="46"/>
      <c r="K193" s="365">
        <f>containers!K200</f>
        <v>0.81200000000000017</v>
      </c>
      <c r="L193" s="29"/>
      <c r="M193" s="174">
        <f>+I193*K193</f>
        <v>0.92793555555555585</v>
      </c>
      <c r="N193" s="29"/>
      <c r="O193" s="998" t="str">
        <f>containers!O200</f>
        <v xml:space="preserve">Note: 80% assumed to comprise spare parts, attracting 15% import duty and 10% VAT, while balance (20%) </v>
      </c>
      <c r="P193" s="29"/>
      <c r="Q193" s="29"/>
      <c r="R193" s="225"/>
    </row>
    <row r="194" spans="1:18" ht="24" thickTop="1" thickBot="1">
      <c r="A194" s="46"/>
      <c r="B194" s="29"/>
      <c r="C194" s="29"/>
      <c r="D194" s="29"/>
      <c r="E194" s="29"/>
      <c r="F194" s="29"/>
      <c r="G194" s="29"/>
      <c r="H194" s="44"/>
      <c r="I194" s="33"/>
      <c r="J194" s="29"/>
      <c r="K194" s="176"/>
      <c r="L194" s="29"/>
      <c r="M194" s="177"/>
      <c r="N194" s="29"/>
      <c r="O194" s="998" t="str">
        <f>containers!O201</f>
        <v>attracts only VAT of 10%</v>
      </c>
      <c r="P194" s="29"/>
      <c r="Q194" s="29"/>
      <c r="R194" s="225"/>
    </row>
    <row r="195" spans="1:18" ht="24" thickTop="1" thickBot="1">
      <c r="A195" s="265" t="s">
        <v>481</v>
      </c>
      <c r="B195" s="38" t="s">
        <v>268</v>
      </c>
      <c r="C195" s="29"/>
      <c r="D195" s="29"/>
      <c r="E195" s="29"/>
      <c r="F195" s="29"/>
      <c r="G195" s="29"/>
      <c r="H195" s="44"/>
      <c r="I195" s="364">
        <f>sysdata!H133</f>
        <v>0.54</v>
      </c>
      <c r="J195" s="46"/>
      <c r="K195" s="365">
        <f>containers!K200</f>
        <v>0.81200000000000017</v>
      </c>
      <c r="L195" s="29"/>
      <c r="M195" s="174">
        <f>+I195*K195</f>
        <v>0.43848000000000009</v>
      </c>
      <c r="N195" s="29"/>
      <c r="O195" s="998" t="str">
        <f>+O193</f>
        <v xml:space="preserve">Note: 80% assumed to comprise spare parts, attracting 15% import duty and 10% VAT, while balance (20%) </v>
      </c>
      <c r="P195" s="29"/>
      <c r="Q195" s="29"/>
      <c r="R195" s="225"/>
    </row>
    <row r="196" spans="1:18" ht="24" thickTop="1" thickBot="1">
      <c r="A196" s="46"/>
      <c r="B196" s="29"/>
      <c r="C196" s="29"/>
      <c r="D196" s="29"/>
      <c r="E196" s="29"/>
      <c r="F196" s="29"/>
      <c r="G196" s="29"/>
      <c r="H196" s="44"/>
      <c r="I196" s="33"/>
      <c r="J196" s="29"/>
      <c r="K196" s="176"/>
      <c r="L196" s="29"/>
      <c r="M196" s="177"/>
      <c r="N196" s="29"/>
      <c r="O196" s="998" t="str">
        <f>+O194</f>
        <v>attracts only VAT of 10%</v>
      </c>
      <c r="P196" s="29"/>
      <c r="Q196" s="29"/>
      <c r="R196" s="225"/>
    </row>
    <row r="197" spans="1:18" ht="24" thickTop="1" thickBot="1">
      <c r="A197" s="265" t="s">
        <v>482</v>
      </c>
      <c r="B197" s="38" t="s">
        <v>471</v>
      </c>
      <c r="C197" s="29"/>
      <c r="D197" s="29"/>
      <c r="E197" s="29"/>
      <c r="F197" s="29"/>
      <c r="G197" s="29"/>
      <c r="H197" s="44"/>
      <c r="I197" s="959">
        <f>sysdata!F53</f>
        <v>4.6651846939235042E-4</v>
      </c>
      <c r="J197" s="46"/>
      <c r="K197" s="365">
        <f>containers!K204</f>
        <v>0.84499999999999997</v>
      </c>
      <c r="L197" s="29"/>
      <c r="M197" s="178">
        <f>+I197*K197</f>
        <v>3.9420810663653609E-4</v>
      </c>
      <c r="N197" s="29"/>
      <c r="O197" s="998" t="str">
        <f>containers!O204</f>
        <v xml:space="preserve">Note: 50% assumed to comprise equipment and spare parts, attracting 15% import duty and </v>
      </c>
      <c r="P197" s="29"/>
      <c r="Q197" s="29"/>
      <c r="R197" s="225"/>
    </row>
    <row r="198" spans="1:18" ht="24" thickTop="1" thickBot="1">
      <c r="A198" s="46"/>
      <c r="B198" s="29"/>
      <c r="C198" s="29"/>
      <c r="D198" s="29"/>
      <c r="E198" s="29"/>
      <c r="F198" s="29"/>
      <c r="G198" s="29"/>
      <c r="H198" s="44"/>
      <c r="I198" s="33"/>
      <c r="J198" s="29"/>
      <c r="K198" s="176"/>
      <c r="L198" s="29"/>
      <c r="M198" s="177"/>
      <c r="N198" s="29"/>
      <c r="O198" s="998" t="str">
        <f>containers!O205</f>
        <v>10% VAT; remaining 50% attracts only VAT</v>
      </c>
      <c r="P198" s="29"/>
      <c r="Q198" s="29"/>
      <c r="R198" s="225"/>
    </row>
    <row r="199" spans="1:18" ht="24" thickTop="1" thickBot="1">
      <c r="A199" s="265" t="s">
        <v>483</v>
      </c>
      <c r="B199" s="38" t="s">
        <v>767</v>
      </c>
      <c r="C199" s="29"/>
      <c r="D199" s="29"/>
      <c r="E199" s="29"/>
      <c r="F199" s="29"/>
      <c r="G199" s="29"/>
      <c r="H199" s="44"/>
      <c r="I199" s="957">
        <f>sysdata!F52</f>
        <v>4901.333333333333</v>
      </c>
      <c r="J199" s="46"/>
      <c r="K199" s="365">
        <f>containers!K206</f>
        <v>0.9</v>
      </c>
      <c r="L199" s="29"/>
      <c r="M199" s="179">
        <f>+I199*K199</f>
        <v>4411.2</v>
      </c>
      <c r="N199" s="29"/>
      <c r="O199" s="998" t="str">
        <f>containers!O206</f>
        <v xml:space="preserve">Note infrastructure maintenance is contracted out so labour costs will reflect free market rates, </v>
      </c>
      <c r="P199" s="29"/>
      <c r="Q199" s="29"/>
      <c r="R199" s="225"/>
    </row>
    <row r="200" spans="1:18" ht="24" thickTop="1" thickBot="1">
      <c r="A200" s="46"/>
      <c r="B200" s="29"/>
      <c r="C200" s="29"/>
      <c r="D200" s="29"/>
      <c r="E200" s="29"/>
      <c r="F200" s="29"/>
      <c r="G200" s="29"/>
      <c r="H200" s="44"/>
      <c r="I200" s="33"/>
      <c r="J200" s="29"/>
      <c r="K200" s="176"/>
      <c r="L200" s="29"/>
      <c r="M200" s="177"/>
      <c r="N200" s="29"/>
      <c r="O200" s="998" t="str">
        <f>containers!O207</f>
        <v>attracting only VAT at a rate of 10%</v>
      </c>
      <c r="P200" s="29"/>
      <c r="Q200" s="29"/>
      <c r="R200" s="225"/>
    </row>
    <row r="201" spans="1:18" ht="24" thickTop="1" thickBot="1">
      <c r="A201" s="265" t="s">
        <v>484</v>
      </c>
      <c r="B201" s="38" t="s">
        <v>64</v>
      </c>
      <c r="C201" s="29"/>
      <c r="D201" s="29"/>
      <c r="E201" s="29"/>
      <c r="F201" s="29"/>
      <c r="G201" s="29"/>
      <c r="H201" s="44"/>
      <c r="I201" s="957">
        <f>sysdata!I180</f>
        <v>2976</v>
      </c>
      <c r="J201" s="46"/>
      <c r="K201" s="365">
        <f>containers!K208</f>
        <v>0.87227414330218067</v>
      </c>
      <c r="L201" s="29"/>
      <c r="M201" s="179">
        <f>+I201*K201</f>
        <v>2595.8878504672898</v>
      </c>
      <c r="N201" s="29"/>
      <c r="O201" s="998" t="str">
        <f>containers!O208</f>
        <v xml:space="preserve">Shadow price is difference between administratively determined "railway wage" (US$ 8025 p.a.) and </v>
      </c>
      <c r="P201" s="29"/>
      <c r="Q201" s="29"/>
      <c r="R201" s="225"/>
    </row>
    <row r="202" spans="1:18" ht="24" thickTop="1" thickBot="1">
      <c r="A202" s="266"/>
      <c r="B202" s="38"/>
      <c r="C202" s="29"/>
      <c r="D202" s="29"/>
      <c r="E202" s="29"/>
      <c r="F202" s="29"/>
      <c r="G202" s="29"/>
      <c r="H202" s="44"/>
      <c r="I202" s="181"/>
      <c r="J202" s="91"/>
      <c r="K202" s="182"/>
      <c r="L202" s="29"/>
      <c r="M202" s="174"/>
      <c r="N202" s="29"/>
      <c r="O202" s="998" t="str">
        <f>containers!O209</f>
        <v>free market labour rate (about US$ 7,000 p.a.)</v>
      </c>
      <c r="P202" s="29"/>
      <c r="Q202" s="29"/>
      <c r="R202" s="225"/>
    </row>
    <row r="203" spans="1:18" ht="24" thickTop="1" thickBot="1">
      <c r="A203" s="265" t="s">
        <v>485</v>
      </c>
      <c r="B203" s="38" t="s">
        <v>84</v>
      </c>
      <c r="C203" s="29"/>
      <c r="D203" s="29"/>
      <c r="E203" s="29"/>
      <c r="F203" s="29"/>
      <c r="G203" s="29"/>
      <c r="H203" s="44"/>
      <c r="I203" s="360"/>
      <c r="J203" s="46"/>
      <c r="K203" s="365">
        <v>0.87227414330218067</v>
      </c>
      <c r="L203" s="29"/>
      <c r="M203" s="179">
        <f>+I203*K203</f>
        <v>0</v>
      </c>
      <c r="N203" s="29"/>
      <c r="O203" s="998" t="s">
        <v>715</v>
      </c>
      <c r="P203" s="29"/>
      <c r="Q203" s="29"/>
      <c r="R203" s="225"/>
    </row>
    <row r="204" spans="1:18" ht="24" thickTop="1" thickBot="1">
      <c r="A204" s="264"/>
      <c r="B204" s="219"/>
      <c r="C204" s="29"/>
      <c r="D204" s="29"/>
      <c r="E204" s="29"/>
      <c r="F204" s="29"/>
      <c r="G204" s="29"/>
      <c r="H204" s="44"/>
      <c r="I204" s="284"/>
      <c r="J204" s="285"/>
      <c r="K204" s="286"/>
      <c r="L204" s="29"/>
      <c r="M204" s="174"/>
      <c r="N204" s="29"/>
      <c r="O204" s="998" t="s">
        <v>716</v>
      </c>
      <c r="P204" s="29"/>
      <c r="Q204" s="29"/>
      <c r="R204" s="225"/>
    </row>
    <row r="205" spans="1:18" ht="23.4" thickTop="1">
      <c r="A205" s="303" t="s">
        <v>211</v>
      </c>
      <c r="B205" s="304"/>
      <c r="C205" s="304"/>
      <c r="D205" s="304"/>
      <c r="E205" s="304"/>
      <c r="F205" s="304"/>
      <c r="G205" s="304"/>
      <c r="H205" s="450"/>
      <c r="I205" s="305"/>
      <c r="J205" s="306"/>
      <c r="K205" s="307"/>
      <c r="L205" s="307"/>
      <c r="M205" s="307"/>
      <c r="N205" s="307"/>
      <c r="O205" s="1005"/>
      <c r="P205" s="307"/>
      <c r="Q205" s="307"/>
      <c r="R205" s="308"/>
    </row>
    <row r="206" spans="1:18">
      <c r="A206" s="268"/>
      <c r="B206" s="28"/>
      <c r="C206" s="28"/>
      <c r="D206" s="28"/>
      <c r="E206" s="28"/>
      <c r="F206" s="28"/>
      <c r="G206" s="28"/>
      <c r="H206" s="455"/>
      <c r="I206" s="28"/>
      <c r="J206" s="28"/>
      <c r="K206" s="28"/>
      <c r="L206" s="28"/>
      <c r="M206" s="28"/>
      <c r="N206" s="28"/>
      <c r="O206" s="999"/>
      <c r="P206" s="28"/>
      <c r="Q206" s="28"/>
      <c r="R206" s="225"/>
    </row>
    <row r="207" spans="1:18" ht="22.8">
      <c r="A207" s="263" t="s">
        <v>459</v>
      </c>
      <c r="B207" s="34" t="s">
        <v>158</v>
      </c>
      <c r="C207" s="29"/>
      <c r="D207" s="29"/>
      <c r="E207" s="29"/>
      <c r="F207" s="29"/>
      <c r="G207" s="29"/>
      <c r="H207" s="44"/>
      <c r="I207" s="36"/>
      <c r="J207" s="29"/>
      <c r="K207" s="29"/>
      <c r="L207" s="29"/>
      <c r="M207" s="29"/>
      <c r="N207" s="29"/>
      <c r="O207" s="996"/>
      <c r="P207" s="29"/>
      <c r="Q207" s="29"/>
      <c r="R207" s="225"/>
    </row>
    <row r="208" spans="1:18" ht="22.8">
      <c r="A208" s="263"/>
      <c r="B208" s="34"/>
      <c r="C208" s="29"/>
      <c r="D208" s="29"/>
      <c r="E208" s="29"/>
      <c r="F208" s="29"/>
      <c r="G208" s="29"/>
      <c r="H208" s="44"/>
      <c r="I208" s="36"/>
      <c r="J208" s="29"/>
      <c r="K208" s="29"/>
      <c r="L208" s="29"/>
      <c r="M208" s="29"/>
      <c r="N208" s="29"/>
      <c r="O208" s="996"/>
      <c r="P208" s="29"/>
      <c r="Q208" s="29"/>
      <c r="R208" s="225"/>
    </row>
    <row r="209" spans="1:18" ht="22.8">
      <c r="A209" s="270" t="s">
        <v>527</v>
      </c>
      <c r="B209" s="88" t="s">
        <v>531</v>
      </c>
      <c r="C209" s="29"/>
      <c r="D209" s="29"/>
      <c r="E209" s="29"/>
      <c r="F209" s="29"/>
      <c r="G209" s="29"/>
      <c r="H209" s="44"/>
      <c r="I209" s="89"/>
      <c r="J209" s="29"/>
      <c r="K209" s="29"/>
      <c r="L209" s="29"/>
      <c r="M209" s="89"/>
      <c r="N209" s="29"/>
      <c r="O209" s="996"/>
      <c r="P209" s="29"/>
      <c r="Q209" s="29"/>
      <c r="R209" s="225"/>
    </row>
    <row r="210" spans="1:18" ht="22.8">
      <c r="A210" s="264"/>
      <c r="B210" s="87"/>
      <c r="C210" s="29"/>
      <c r="D210" s="29"/>
      <c r="E210" s="29"/>
      <c r="F210" s="29"/>
      <c r="G210" s="29"/>
      <c r="H210" s="44"/>
      <c r="I210" s="89"/>
      <c r="J210" s="29"/>
      <c r="K210" s="29"/>
      <c r="L210" s="29"/>
      <c r="M210" s="89"/>
      <c r="N210" s="29"/>
      <c r="O210" s="996"/>
      <c r="P210" s="29"/>
      <c r="Q210" s="29"/>
      <c r="R210" s="225"/>
    </row>
    <row r="211" spans="1:18" ht="22.8">
      <c r="A211" s="264" t="s">
        <v>528</v>
      </c>
      <c r="B211" s="88" t="s">
        <v>529</v>
      </c>
      <c r="C211" s="29"/>
      <c r="D211" s="29"/>
      <c r="E211" s="29"/>
      <c r="F211" s="29"/>
      <c r="G211" s="29"/>
      <c r="H211" s="44"/>
      <c r="I211" s="89"/>
      <c r="J211" s="29"/>
      <c r="K211" s="29"/>
      <c r="L211" s="29"/>
      <c r="M211" s="89"/>
      <c r="N211" s="29"/>
      <c r="O211" s="996"/>
      <c r="P211" s="29"/>
      <c r="Q211" s="29"/>
      <c r="R211" s="225"/>
    </row>
    <row r="212" spans="1:18" ht="22.8">
      <c r="A212" s="264"/>
      <c r="B212" s="87"/>
      <c r="C212" s="29"/>
      <c r="D212" s="29"/>
      <c r="E212" s="29"/>
      <c r="F212" s="29"/>
      <c r="G212" s="29"/>
      <c r="H212" s="44"/>
      <c r="I212" s="352"/>
      <c r="J212" s="29"/>
      <c r="K212" s="29"/>
      <c r="L212" s="29"/>
      <c r="M212" s="89"/>
      <c r="N212" s="29"/>
      <c r="O212" s="996"/>
      <c r="P212" s="29"/>
      <c r="Q212" s="29"/>
      <c r="R212" s="225"/>
    </row>
    <row r="213" spans="1:18" ht="22.8">
      <c r="A213" s="264" t="s">
        <v>486</v>
      </c>
      <c r="B213" s="88" t="s">
        <v>96</v>
      </c>
      <c r="C213" s="29"/>
      <c r="D213" s="29"/>
      <c r="E213" s="29"/>
      <c r="F213" s="29"/>
      <c r="G213" s="29"/>
      <c r="H213" s="44"/>
      <c r="I213" s="89"/>
      <c r="J213" s="29"/>
      <c r="K213" s="29"/>
      <c r="L213" s="29"/>
      <c r="M213" s="89"/>
      <c r="N213" s="29"/>
      <c r="O213" s="996"/>
      <c r="P213" s="29"/>
      <c r="Q213" s="29"/>
      <c r="R213" s="225"/>
    </row>
    <row r="214" spans="1:18" ht="23.4" thickBot="1">
      <c r="A214" s="270"/>
      <c r="B214" s="87"/>
      <c r="C214" s="29"/>
      <c r="D214" s="29"/>
      <c r="E214" s="29"/>
      <c r="F214" s="29"/>
      <c r="G214" s="29"/>
      <c r="H214" s="44"/>
      <c r="I214" s="89"/>
      <c r="J214" s="29"/>
      <c r="K214" s="29"/>
      <c r="L214" s="29"/>
      <c r="M214" s="89"/>
      <c r="N214" s="29"/>
      <c r="O214" s="996"/>
      <c r="P214" s="29"/>
      <c r="Q214" s="29"/>
      <c r="R214" s="225"/>
    </row>
    <row r="215" spans="1:18" ht="24" thickTop="1" thickBot="1">
      <c r="A215" s="264" t="s">
        <v>333</v>
      </c>
      <c r="B215" s="439" t="s">
        <v>699</v>
      </c>
      <c r="C215" s="29"/>
      <c r="D215" s="29"/>
      <c r="E215" s="29"/>
      <c r="F215" s="29"/>
      <c r="G215" s="29"/>
      <c r="H215" s="44"/>
      <c r="I215" s="960">
        <f>sysdata!I189*1000000</f>
        <v>2216389712</v>
      </c>
      <c r="J215" s="29"/>
      <c r="K215" s="366">
        <f>containers!K228</f>
        <v>0.88000000000000012</v>
      </c>
      <c r="L215" s="29"/>
      <c r="M215" s="888">
        <f>+I215*K215</f>
        <v>1950422946.5600002</v>
      </c>
      <c r="N215" s="29"/>
      <c r="O215" s="998" t="s">
        <v>780</v>
      </c>
      <c r="P215" s="29"/>
      <c r="Q215" s="29"/>
      <c r="R215" s="225"/>
    </row>
    <row r="216" spans="1:18" ht="23.4" thickTop="1">
      <c r="A216" s="270"/>
      <c r="B216" s="186" t="s">
        <v>92</v>
      </c>
      <c r="C216" s="187"/>
      <c r="D216" s="187"/>
      <c r="E216" s="187"/>
      <c r="F216" s="187"/>
      <c r="G216" s="187"/>
      <c r="H216" s="456"/>
      <c r="I216" s="89"/>
      <c r="J216" s="29"/>
      <c r="K216" s="29"/>
      <c r="L216" s="29"/>
      <c r="M216" s="89"/>
      <c r="N216" s="29"/>
      <c r="O216" s="998" t="s">
        <v>781</v>
      </c>
      <c r="P216" s="29"/>
      <c r="Q216" s="29"/>
      <c r="R216" s="225"/>
    </row>
    <row r="217" spans="1:18" ht="22.8">
      <c r="A217" s="264"/>
      <c r="B217" s="188" t="s">
        <v>190</v>
      </c>
      <c r="C217" s="58"/>
      <c r="D217" s="58"/>
      <c r="E217" s="189"/>
      <c r="F217" s="190"/>
      <c r="G217" s="191"/>
      <c r="H217" s="457"/>
      <c r="I217" s="30"/>
      <c r="J217" s="29"/>
      <c r="K217" s="30"/>
      <c r="L217" s="29"/>
      <c r="M217" s="30"/>
      <c r="N217" s="30"/>
      <c r="O217" s="1000"/>
      <c r="P217" s="30"/>
      <c r="Q217" s="29"/>
      <c r="R217" s="225"/>
    </row>
    <row r="218" spans="1:18" ht="22.8">
      <c r="A218" s="270"/>
      <c r="B218" s="186" t="s">
        <v>93</v>
      </c>
      <c r="C218" s="187"/>
      <c r="D218" s="187"/>
      <c r="E218" s="187"/>
      <c r="F218" s="187"/>
      <c r="G218" s="187"/>
      <c r="H218" s="456"/>
      <c r="I218" s="89"/>
      <c r="J218" s="29"/>
      <c r="K218" s="29"/>
      <c r="L218" s="29"/>
      <c r="M218" s="89"/>
      <c r="N218" s="29"/>
      <c r="O218" s="996"/>
      <c r="P218" s="29"/>
      <c r="Q218" s="29"/>
      <c r="R218" s="225"/>
    </row>
    <row r="219" spans="1:18" ht="23.4" thickBot="1">
      <c r="A219" s="270"/>
      <c r="B219" s="87"/>
      <c r="C219" s="29"/>
      <c r="D219" s="29"/>
      <c r="E219" s="29"/>
      <c r="F219" s="29"/>
      <c r="G219" s="29"/>
      <c r="H219" s="44"/>
      <c r="I219" s="89"/>
      <c r="J219" s="29"/>
      <c r="K219" s="29"/>
      <c r="L219" s="29"/>
      <c r="M219" s="89"/>
      <c r="N219" s="29"/>
      <c r="O219" s="996"/>
      <c r="P219" s="29"/>
      <c r="Q219" s="29"/>
      <c r="R219" s="225"/>
    </row>
    <row r="220" spans="1:18" ht="24" thickTop="1" thickBot="1">
      <c r="A220" s="264" t="s">
        <v>334</v>
      </c>
      <c r="B220" s="87" t="s">
        <v>304</v>
      </c>
      <c r="C220" s="29"/>
      <c r="D220" s="29"/>
      <c r="E220" s="29"/>
      <c r="F220" s="29"/>
      <c r="G220" s="29"/>
      <c r="H220" s="44"/>
      <c r="I220" s="962">
        <f>+I215*I173</f>
        <v>941788599.66773164</v>
      </c>
      <c r="J220" s="29"/>
      <c r="K220" s="29"/>
      <c r="L220" s="29"/>
      <c r="M220" s="929">
        <f>M215*I173</f>
        <v>828773967.70760393</v>
      </c>
      <c r="N220" s="29"/>
      <c r="O220" s="996"/>
      <c r="P220" s="29"/>
      <c r="Q220" s="29"/>
      <c r="R220" s="225"/>
    </row>
    <row r="221" spans="1:18" ht="24" thickTop="1" thickBot="1">
      <c r="A221" s="270"/>
      <c r="B221" s="87"/>
      <c r="C221" s="29"/>
      <c r="D221" s="29"/>
      <c r="E221" s="29"/>
      <c r="F221" s="29"/>
      <c r="G221" s="29"/>
      <c r="H221" s="44"/>
      <c r="I221" s="89"/>
      <c r="J221" s="29"/>
      <c r="K221" s="29"/>
      <c r="L221" s="29"/>
      <c r="M221" s="89"/>
      <c r="N221" s="29"/>
      <c r="O221" s="996"/>
      <c r="P221" s="29"/>
      <c r="Q221" s="29"/>
      <c r="R221" s="225"/>
    </row>
    <row r="222" spans="1:18" ht="24" thickTop="1" thickBot="1">
      <c r="A222" s="265" t="s">
        <v>335</v>
      </c>
      <c r="B222" s="38" t="s">
        <v>94</v>
      </c>
      <c r="C222" s="29"/>
      <c r="D222" s="29"/>
      <c r="E222" s="29"/>
      <c r="F222" s="29"/>
      <c r="G222" s="29"/>
      <c r="H222" s="44"/>
      <c r="I222" s="360">
        <v>50</v>
      </c>
      <c r="J222" s="29"/>
      <c r="K222" s="29"/>
      <c r="L222" s="29"/>
      <c r="M222" s="179">
        <f>+I222</f>
        <v>50</v>
      </c>
      <c r="N222" s="29"/>
      <c r="O222" s="998" t="s">
        <v>711</v>
      </c>
      <c r="P222" s="29"/>
      <c r="Q222" s="29"/>
      <c r="R222" s="225"/>
    </row>
    <row r="223" spans="1:18" ht="24" thickTop="1" thickBot="1">
      <c r="A223" s="46"/>
      <c r="B223" s="29"/>
      <c r="C223" s="29"/>
      <c r="D223" s="29"/>
      <c r="E223" s="29"/>
      <c r="F223" s="29"/>
      <c r="G223" s="29"/>
      <c r="H223" s="44"/>
      <c r="I223" s="33"/>
      <c r="J223" s="29"/>
      <c r="K223" s="29"/>
      <c r="L223" s="29"/>
      <c r="M223" s="89"/>
      <c r="N223" s="29"/>
      <c r="O223" s="996"/>
      <c r="P223" s="29"/>
      <c r="Q223" s="29"/>
      <c r="R223" s="225"/>
    </row>
    <row r="224" spans="1:18" ht="24" thickTop="1" thickBot="1">
      <c r="A224" s="265" t="s">
        <v>336</v>
      </c>
      <c r="B224" s="38" t="s">
        <v>95</v>
      </c>
      <c r="C224" s="29"/>
      <c r="D224" s="29"/>
      <c r="E224" s="29"/>
      <c r="F224" s="29"/>
      <c r="G224" s="29"/>
      <c r="H224" s="44"/>
      <c r="I224" s="361">
        <v>0.1</v>
      </c>
      <c r="J224" s="29"/>
      <c r="K224" s="29"/>
      <c r="L224" s="29"/>
      <c r="M224" s="192">
        <f>+I224</f>
        <v>0.1</v>
      </c>
      <c r="N224" s="29"/>
      <c r="O224" s="998" t="str">
        <f>containers!O237</f>
        <v>Reflects only rail scrap value at end of infrastructure life</v>
      </c>
      <c r="P224" s="29"/>
      <c r="Q224" s="29"/>
      <c r="R224" s="225"/>
    </row>
    <row r="225" spans="1:18" ht="23.4" thickTop="1">
      <c r="A225" s="265"/>
      <c r="B225" s="38"/>
      <c r="C225" s="29"/>
      <c r="D225" s="29"/>
      <c r="E225" s="29"/>
      <c r="F225" s="29"/>
      <c r="G225" s="29"/>
      <c r="H225" s="44"/>
      <c r="I225" s="1224"/>
      <c r="J225" s="29"/>
      <c r="K225" s="29"/>
      <c r="L225" s="29"/>
      <c r="M225" s="192"/>
      <c r="N225" s="29"/>
      <c r="O225" s="998"/>
      <c r="P225" s="29"/>
      <c r="Q225" s="29"/>
      <c r="R225" s="225"/>
    </row>
    <row r="226" spans="1:18" ht="22.8">
      <c r="A226" s="265" t="s">
        <v>933</v>
      </c>
      <c r="B226" s="38" t="s">
        <v>921</v>
      </c>
      <c r="C226" s="29"/>
      <c r="D226" s="29"/>
      <c r="E226" s="29"/>
      <c r="F226" s="29"/>
      <c r="G226" s="29"/>
      <c r="H226" s="44"/>
      <c r="I226" s="1516">
        <v>2.8500000000000001E-2</v>
      </c>
      <c r="J226" s="29"/>
      <c r="K226" s="29"/>
      <c r="L226" s="29"/>
      <c r="M226" s="192"/>
      <c r="N226" s="29"/>
      <c r="O226" s="998"/>
      <c r="P226" s="29"/>
      <c r="Q226" s="29"/>
      <c r="R226" s="225"/>
    </row>
    <row r="227" spans="1:18" ht="22.8">
      <c r="A227" s="270"/>
      <c r="B227" s="87"/>
      <c r="C227" s="29"/>
      <c r="D227" s="29"/>
      <c r="E227" s="29"/>
      <c r="F227" s="29"/>
      <c r="G227" s="29"/>
      <c r="H227" s="44"/>
      <c r="I227" s="89"/>
      <c r="J227" s="29"/>
      <c r="K227" s="29"/>
      <c r="L227" s="29"/>
      <c r="M227" s="177"/>
      <c r="N227" s="29"/>
      <c r="O227" s="996"/>
      <c r="P227" s="29"/>
      <c r="Q227" s="29"/>
      <c r="R227" s="225"/>
    </row>
    <row r="228" spans="1:18" ht="22.8">
      <c r="A228" s="264" t="s">
        <v>492</v>
      </c>
      <c r="B228" s="88" t="s">
        <v>97</v>
      </c>
      <c r="C228" s="29"/>
      <c r="D228" s="29"/>
      <c r="E228" s="29"/>
      <c r="F228" s="29"/>
      <c r="G228" s="29"/>
      <c r="H228" s="44"/>
      <c r="I228" s="89"/>
      <c r="J228" s="29"/>
      <c r="K228" s="29"/>
      <c r="L228" s="29"/>
      <c r="M228" s="177"/>
      <c r="N228" s="29"/>
      <c r="O228" s="996"/>
      <c r="P228" s="29"/>
      <c r="Q228" s="29"/>
      <c r="R228" s="225"/>
    </row>
    <row r="229" spans="1:18" ht="23.4" thickBot="1">
      <c r="A229" s="270"/>
      <c r="B229" s="87"/>
      <c r="C229" s="29"/>
      <c r="D229" s="29"/>
      <c r="E229" s="29"/>
      <c r="F229" s="29"/>
      <c r="G229" s="29"/>
      <c r="H229" s="44"/>
      <c r="I229" s="89"/>
      <c r="J229" s="29"/>
      <c r="K229" s="29"/>
      <c r="L229" s="29"/>
      <c r="M229" s="177"/>
      <c r="N229" s="29"/>
      <c r="O229" s="996"/>
      <c r="P229" s="29"/>
      <c r="Q229" s="29"/>
      <c r="R229" s="225"/>
    </row>
    <row r="230" spans="1:18" ht="24" thickTop="1" thickBot="1">
      <c r="A230" s="264" t="s">
        <v>5</v>
      </c>
      <c r="B230" s="439" t="s">
        <v>770</v>
      </c>
      <c r="C230" s="29"/>
      <c r="D230" s="29"/>
      <c r="E230" s="29"/>
      <c r="F230" s="29"/>
      <c r="G230" s="29"/>
      <c r="H230" s="44"/>
      <c r="I230" s="962">
        <f>sysdata!E198*1000000</f>
        <v>56000000</v>
      </c>
      <c r="J230" s="29"/>
      <c r="K230" s="365">
        <f>containers!K243</f>
        <v>0.9</v>
      </c>
      <c r="L230" s="29"/>
      <c r="M230" s="888">
        <f>+I230*K230</f>
        <v>50400000</v>
      </c>
      <c r="N230" s="29"/>
      <c r="O230" s="998" t="s">
        <v>713</v>
      </c>
      <c r="P230" s="29"/>
      <c r="Q230" s="29"/>
      <c r="R230" s="225"/>
    </row>
    <row r="231" spans="1:18" ht="24" thickTop="1" thickBot="1">
      <c r="A231" s="270"/>
      <c r="B231" s="87"/>
      <c r="C231" s="29"/>
      <c r="D231" s="29"/>
      <c r="E231" s="29"/>
      <c r="F231" s="29"/>
      <c r="G231" s="29"/>
      <c r="H231" s="44"/>
      <c r="I231" s="89"/>
      <c r="J231" s="29"/>
      <c r="K231" s="29"/>
      <c r="L231" s="29"/>
      <c r="M231" s="177"/>
      <c r="N231" s="29"/>
      <c r="O231" s="998"/>
      <c r="P231" s="29"/>
      <c r="Q231" s="29"/>
      <c r="R231" s="225"/>
    </row>
    <row r="232" spans="1:18" ht="24" thickTop="1" thickBot="1">
      <c r="A232" s="768" t="s">
        <v>337</v>
      </c>
      <c r="B232" s="439" t="s">
        <v>771</v>
      </c>
      <c r="C232" s="29"/>
      <c r="D232" s="29"/>
      <c r="E232" s="29"/>
      <c r="F232" s="29"/>
      <c r="G232" s="29"/>
      <c r="H232" s="44"/>
      <c r="I232" s="962">
        <f>+I230*I169</f>
        <v>23795527.156549521</v>
      </c>
      <c r="J232" s="29"/>
      <c r="K232" s="29"/>
      <c r="L232" s="29"/>
      <c r="M232" s="177"/>
      <c r="N232" s="29"/>
      <c r="O232" s="996"/>
      <c r="P232" s="29"/>
      <c r="Q232" s="29"/>
      <c r="R232" s="225"/>
    </row>
    <row r="233" spans="1:18" ht="24" thickTop="1" thickBot="1">
      <c r="A233" s="270"/>
      <c r="B233" s="87"/>
      <c r="C233" s="29"/>
      <c r="D233" s="29"/>
      <c r="E233" s="29"/>
      <c r="F233" s="29"/>
      <c r="G233" s="29"/>
      <c r="H233" s="44"/>
      <c r="I233" s="89"/>
      <c r="J233" s="29"/>
      <c r="K233" s="29"/>
      <c r="L233" s="29"/>
      <c r="M233" s="177"/>
      <c r="N233" s="29"/>
      <c r="O233" s="996"/>
      <c r="P233" s="29"/>
      <c r="Q233" s="29"/>
      <c r="R233" s="225"/>
    </row>
    <row r="234" spans="1:18" ht="24" thickTop="1" thickBot="1">
      <c r="A234" s="768" t="s">
        <v>338</v>
      </c>
      <c r="B234" s="87" t="s">
        <v>98</v>
      </c>
      <c r="C234" s="29"/>
      <c r="D234" s="29"/>
      <c r="E234" s="29"/>
      <c r="F234" s="29"/>
      <c r="G234" s="29"/>
      <c r="H234" s="44"/>
      <c r="I234" s="360">
        <v>30</v>
      </c>
      <c r="J234" s="29"/>
      <c r="K234" s="29"/>
      <c r="L234" s="29"/>
      <c r="M234" s="193">
        <f>+I234</f>
        <v>30</v>
      </c>
      <c r="N234" s="29"/>
      <c r="O234" s="996"/>
      <c r="P234" s="29"/>
      <c r="Q234" s="29"/>
      <c r="R234" s="225"/>
    </row>
    <row r="235" spans="1:18" ht="24" thickTop="1" thickBot="1">
      <c r="A235" s="270"/>
      <c r="B235" s="87"/>
      <c r="C235" s="29"/>
      <c r="D235" s="29"/>
      <c r="E235" s="29"/>
      <c r="F235" s="29"/>
      <c r="G235" s="29"/>
      <c r="H235" s="44"/>
      <c r="I235" s="89"/>
      <c r="J235" s="29"/>
      <c r="K235" s="29"/>
      <c r="L235" s="29"/>
      <c r="M235" s="177"/>
      <c r="N235" s="29"/>
      <c r="O235" s="996"/>
      <c r="P235" s="29"/>
      <c r="Q235" s="29"/>
      <c r="R235" s="225"/>
    </row>
    <row r="236" spans="1:18" ht="24" thickTop="1" thickBot="1">
      <c r="A236" s="768" t="s">
        <v>934</v>
      </c>
      <c r="B236" s="87" t="s">
        <v>99</v>
      </c>
      <c r="C236" s="29"/>
      <c r="D236" s="29"/>
      <c r="E236" s="29"/>
      <c r="F236" s="29"/>
      <c r="G236" s="29"/>
      <c r="H236" s="44"/>
      <c r="I236" s="361">
        <v>0.25</v>
      </c>
      <c r="J236" s="29"/>
      <c r="K236" s="29"/>
      <c r="L236" s="29"/>
      <c r="M236" s="194">
        <f>+I236</f>
        <v>0.25</v>
      </c>
      <c r="N236" s="29"/>
      <c r="O236" s="996"/>
      <c r="P236" s="29"/>
      <c r="Q236" s="29"/>
      <c r="R236" s="225"/>
    </row>
    <row r="237" spans="1:18" ht="23.4" thickTop="1">
      <c r="A237" s="270"/>
      <c r="B237" s="87"/>
      <c r="C237" s="29"/>
      <c r="D237" s="29"/>
      <c r="E237" s="29"/>
      <c r="F237" s="29"/>
      <c r="G237" s="29"/>
      <c r="H237" s="44"/>
      <c r="I237" s="89"/>
      <c r="J237" s="29"/>
      <c r="K237" s="29"/>
      <c r="L237" s="29"/>
      <c r="M237" s="177"/>
      <c r="N237" s="29"/>
      <c r="O237" s="996"/>
      <c r="P237" s="29"/>
      <c r="Q237" s="29"/>
      <c r="R237" s="225"/>
    </row>
    <row r="238" spans="1:18" ht="22.8">
      <c r="A238" s="767" t="s">
        <v>935</v>
      </c>
      <c r="B238" s="38" t="s">
        <v>921</v>
      </c>
      <c r="C238" s="29"/>
      <c r="D238" s="29"/>
      <c r="E238" s="29"/>
      <c r="F238" s="29"/>
      <c r="G238" s="29"/>
      <c r="H238" s="44"/>
      <c r="I238" s="1516">
        <f>I226</f>
        <v>2.8500000000000001E-2</v>
      </c>
      <c r="J238" s="29"/>
      <c r="K238" s="29"/>
      <c r="L238" s="29"/>
      <c r="M238" s="177"/>
      <c r="N238" s="29"/>
      <c r="O238" s="996"/>
      <c r="P238" s="29"/>
      <c r="Q238" s="29"/>
      <c r="R238" s="225"/>
    </row>
    <row r="239" spans="1:18" ht="22.8">
      <c r="A239" s="270"/>
      <c r="G239" s="29"/>
      <c r="H239" s="44"/>
      <c r="I239" s="89"/>
      <c r="J239" s="29"/>
      <c r="K239" s="29"/>
      <c r="L239" s="29"/>
      <c r="M239" s="177"/>
      <c r="N239" s="29"/>
      <c r="O239" s="996"/>
      <c r="P239" s="29"/>
      <c r="Q239" s="29"/>
      <c r="R239" s="225"/>
    </row>
    <row r="240" spans="1:18" ht="22.8">
      <c r="A240" s="270" t="s">
        <v>532</v>
      </c>
      <c r="B240" s="88" t="s">
        <v>517</v>
      </c>
      <c r="C240" s="29"/>
      <c r="D240" s="29"/>
      <c r="E240" s="29"/>
      <c r="F240" s="29"/>
      <c r="G240" s="29"/>
      <c r="H240" s="44"/>
      <c r="I240" s="89"/>
      <c r="J240" s="29"/>
      <c r="K240" s="29"/>
      <c r="L240" s="29"/>
      <c r="M240" s="177"/>
      <c r="N240" s="29"/>
      <c r="O240" s="996"/>
      <c r="P240" s="29"/>
      <c r="Q240" s="29"/>
      <c r="R240" s="225"/>
    </row>
    <row r="241" spans="1:18" ht="23.4" thickBot="1">
      <c r="A241" s="270"/>
      <c r="B241" s="87"/>
      <c r="C241" s="29"/>
      <c r="D241" s="29"/>
      <c r="E241" s="29"/>
      <c r="F241" s="29"/>
      <c r="G241" s="29"/>
      <c r="H241" s="44"/>
      <c r="I241" s="89"/>
      <c r="J241" s="29"/>
      <c r="K241" s="29"/>
      <c r="L241" s="29"/>
      <c r="M241" s="177"/>
      <c r="N241" s="29"/>
      <c r="O241" s="996"/>
      <c r="P241" s="29"/>
      <c r="Q241" s="29"/>
      <c r="R241" s="225"/>
    </row>
    <row r="242" spans="1:18" ht="24" thickTop="1" thickBot="1">
      <c r="A242" s="265" t="s">
        <v>494</v>
      </c>
      <c r="B242" s="38" t="s">
        <v>182</v>
      </c>
      <c r="C242" s="29"/>
      <c r="D242" s="29"/>
      <c r="E242" s="29"/>
      <c r="F242" s="29"/>
      <c r="G242" s="29"/>
      <c r="H242" s="44"/>
      <c r="I242" s="357"/>
      <c r="J242" s="46"/>
      <c r="K242" s="365">
        <f>containers!K255</f>
        <v>0.79</v>
      </c>
      <c r="L242" s="29"/>
      <c r="M242" s="179">
        <f>+I242*K242</f>
        <v>0</v>
      </c>
      <c r="N242" s="29"/>
      <c r="O242" s="998" t="s">
        <v>778</v>
      </c>
      <c r="P242" s="29"/>
      <c r="Q242" s="29"/>
      <c r="R242" s="225"/>
    </row>
    <row r="243" spans="1:18" ht="24" thickTop="1" thickBot="1">
      <c r="A243" s="46"/>
      <c r="B243" s="29"/>
      <c r="C243" s="29"/>
      <c r="D243" s="29"/>
      <c r="E243" s="29"/>
      <c r="F243" s="29"/>
      <c r="G243" s="29"/>
      <c r="H243" s="44"/>
      <c r="I243" s="33"/>
      <c r="J243" s="29"/>
      <c r="K243" s="29"/>
      <c r="L243" s="29"/>
      <c r="M243" s="177"/>
      <c r="N243" s="29"/>
      <c r="O243" s="998" t="s">
        <v>779</v>
      </c>
      <c r="P243" s="29"/>
      <c r="Q243" s="29"/>
      <c r="R243" s="225"/>
    </row>
    <row r="244" spans="1:18" ht="24" thickTop="1" thickBot="1">
      <c r="A244" s="264" t="s">
        <v>495</v>
      </c>
      <c r="B244" s="87" t="s">
        <v>183</v>
      </c>
      <c r="C244" s="29"/>
      <c r="D244" s="29"/>
      <c r="E244" s="29"/>
      <c r="F244" s="29"/>
      <c r="G244" s="29"/>
      <c r="H244" s="44"/>
      <c r="I244" s="367">
        <v>25</v>
      </c>
      <c r="J244" s="29"/>
      <c r="K244" s="29"/>
      <c r="L244" s="29"/>
      <c r="M244" s="155">
        <f>+I244</f>
        <v>25</v>
      </c>
      <c r="N244" s="29"/>
      <c r="O244" s="996"/>
      <c r="P244" s="29"/>
      <c r="Q244" s="29"/>
      <c r="R244" s="225"/>
    </row>
    <row r="245" spans="1:18" ht="24" thickTop="1" thickBot="1">
      <c r="A245" s="46"/>
      <c r="B245" s="29"/>
      <c r="C245" s="29"/>
      <c r="D245" s="29"/>
      <c r="E245" s="29"/>
      <c r="F245" s="29"/>
      <c r="G245" s="29"/>
      <c r="H245" s="44"/>
      <c r="I245" s="33"/>
      <c r="J245" s="29"/>
      <c r="K245" s="29"/>
      <c r="L245" s="29"/>
      <c r="M245" s="177"/>
      <c r="N245" s="29"/>
      <c r="O245" s="996"/>
      <c r="P245" s="29"/>
      <c r="Q245" s="29"/>
      <c r="R245" s="225"/>
    </row>
    <row r="246" spans="1:18" ht="24" thickTop="1" thickBot="1">
      <c r="A246" s="265" t="s">
        <v>497</v>
      </c>
      <c r="B246" s="38" t="s">
        <v>184</v>
      </c>
      <c r="C246" s="29"/>
      <c r="D246" s="29"/>
      <c r="E246" s="29"/>
      <c r="F246" s="29"/>
      <c r="G246" s="29"/>
      <c r="H246" s="44"/>
      <c r="I246" s="361">
        <v>0.25</v>
      </c>
      <c r="J246" s="29"/>
      <c r="K246" s="29"/>
      <c r="L246" s="29"/>
      <c r="M246" s="192">
        <f>+I246</f>
        <v>0.25</v>
      </c>
      <c r="N246" s="29"/>
      <c r="O246" s="996"/>
      <c r="P246" s="29"/>
      <c r="Q246" s="29"/>
      <c r="R246" s="225"/>
    </row>
    <row r="247" spans="1:18" ht="24" thickTop="1" thickBot="1">
      <c r="A247" s="265"/>
      <c r="B247" s="38"/>
      <c r="C247" s="29"/>
      <c r="D247" s="29"/>
      <c r="E247" s="29"/>
      <c r="F247" s="29"/>
      <c r="G247" s="29"/>
      <c r="H247" s="44"/>
      <c r="I247" s="1513"/>
      <c r="J247" s="29"/>
      <c r="K247" s="29"/>
      <c r="L247" s="29"/>
      <c r="M247" s="192"/>
      <c r="N247" s="29"/>
      <c r="O247" s="996"/>
      <c r="P247" s="29"/>
      <c r="Q247" s="29"/>
      <c r="R247" s="225"/>
    </row>
    <row r="248" spans="1:18" ht="24" thickTop="1" thickBot="1">
      <c r="A248" s="265" t="s">
        <v>244</v>
      </c>
      <c r="B248" s="439" t="s">
        <v>924</v>
      </c>
      <c r="C248" s="29"/>
      <c r="D248" s="29"/>
      <c r="E248" s="29"/>
      <c r="F248" s="29"/>
      <c r="G248" s="29"/>
      <c r="H248" s="44"/>
      <c r="I248" s="361">
        <v>7.0000000000000007E-2</v>
      </c>
      <c r="J248" s="29"/>
      <c r="K248" s="29"/>
      <c r="L248" s="29"/>
      <c r="M248" s="192"/>
      <c r="N248" s="29"/>
      <c r="O248" s="996"/>
      <c r="P248" s="29"/>
      <c r="Q248" s="29"/>
      <c r="R248" s="225"/>
    </row>
    <row r="249" spans="1:18" ht="23.4" thickTop="1">
      <c r="A249" s="46"/>
      <c r="B249" s="29"/>
      <c r="C249" s="29"/>
      <c r="D249" s="29"/>
      <c r="E249" s="29"/>
      <c r="F249" s="29"/>
      <c r="G249" s="29"/>
      <c r="H249" s="44"/>
      <c r="I249" s="33"/>
      <c r="J249" s="29"/>
      <c r="K249" s="29"/>
      <c r="L249" s="29"/>
      <c r="M249" s="177"/>
      <c r="N249" s="29"/>
      <c r="O249" s="996"/>
      <c r="P249" s="29"/>
      <c r="Q249" s="29"/>
      <c r="R249" s="225"/>
    </row>
    <row r="250" spans="1:18" ht="22.8">
      <c r="A250" s="270" t="s">
        <v>533</v>
      </c>
      <c r="B250" s="88" t="s">
        <v>305</v>
      </c>
      <c r="C250" s="29"/>
      <c r="D250" s="29"/>
      <c r="E250" s="29"/>
      <c r="F250" s="29"/>
      <c r="G250" s="29"/>
      <c r="H250" s="44"/>
      <c r="I250" s="92"/>
      <c r="J250" s="91"/>
      <c r="K250" s="29"/>
      <c r="L250" s="29"/>
      <c r="M250" s="177"/>
      <c r="N250" s="29"/>
      <c r="O250" s="996"/>
      <c r="P250" s="29"/>
      <c r="Q250" s="29"/>
      <c r="R250" s="225"/>
    </row>
    <row r="251" spans="1:18" ht="23.4" thickBot="1">
      <c r="A251" s="46"/>
      <c r="B251" s="29"/>
      <c r="C251" s="29"/>
      <c r="D251" s="29"/>
      <c r="E251" s="29"/>
      <c r="F251" s="29"/>
      <c r="G251" s="29"/>
      <c r="H251" s="44"/>
      <c r="I251" s="89"/>
      <c r="J251" s="29"/>
      <c r="K251" s="29"/>
      <c r="L251" s="29"/>
      <c r="M251" s="177"/>
      <c r="N251" s="29"/>
      <c r="O251" s="996"/>
      <c r="P251" s="29"/>
      <c r="Q251" s="29"/>
      <c r="R251" s="225"/>
    </row>
    <row r="252" spans="1:18" ht="24" thickTop="1" thickBot="1">
      <c r="A252" s="265" t="s">
        <v>499</v>
      </c>
      <c r="B252" s="38" t="s">
        <v>306</v>
      </c>
      <c r="C252" s="29"/>
      <c r="D252" s="29"/>
      <c r="E252" s="29"/>
      <c r="F252" s="29"/>
      <c r="G252" s="29"/>
      <c r="H252" s="44"/>
      <c r="I252" s="368">
        <f>sysdata!G133*1000000</f>
        <v>2000000</v>
      </c>
      <c r="J252" s="46"/>
      <c r="K252" s="365">
        <f>containers!K273</f>
        <v>0.79</v>
      </c>
      <c r="L252" s="29"/>
      <c r="M252" s="179">
        <f>+I252*K252</f>
        <v>1580000</v>
      </c>
      <c r="N252" s="29"/>
      <c r="O252" s="998" t="s">
        <v>778</v>
      </c>
      <c r="P252" s="29"/>
      <c r="Q252" s="29"/>
      <c r="R252" s="225"/>
    </row>
    <row r="253" spans="1:18" ht="24" thickTop="1" thickBot="1">
      <c r="A253" s="46"/>
      <c r="B253" s="29"/>
      <c r="C253" s="29"/>
      <c r="D253" s="29"/>
      <c r="E253" s="29"/>
      <c r="F253" s="29"/>
      <c r="G253" s="29"/>
      <c r="H253" s="44"/>
      <c r="I253" s="33"/>
      <c r="J253" s="29"/>
      <c r="K253" s="29"/>
      <c r="L253" s="29"/>
      <c r="M253" s="177"/>
      <c r="N253" s="29"/>
      <c r="O253" s="998" t="s">
        <v>779</v>
      </c>
      <c r="P253" s="29"/>
      <c r="Q253" s="29"/>
      <c r="R253" s="225"/>
    </row>
    <row r="254" spans="1:18" ht="24" thickTop="1" thickBot="1">
      <c r="A254" s="264" t="s">
        <v>501</v>
      </c>
      <c r="B254" s="87" t="s">
        <v>307</v>
      </c>
      <c r="C254" s="29"/>
      <c r="D254" s="29"/>
      <c r="E254" s="29"/>
      <c r="F254" s="29"/>
      <c r="G254" s="29"/>
      <c r="H254" s="44"/>
      <c r="I254" s="360">
        <v>25</v>
      </c>
      <c r="J254" s="46"/>
      <c r="K254" s="29"/>
      <c r="L254" s="29"/>
      <c r="M254" s="179">
        <f>+I254</f>
        <v>25</v>
      </c>
      <c r="N254" s="29"/>
      <c r="O254" s="996"/>
      <c r="P254" s="29"/>
      <c r="Q254" s="29"/>
      <c r="R254" s="225"/>
    </row>
    <row r="255" spans="1:18" ht="24" thickTop="1" thickBot="1">
      <c r="A255" s="46"/>
      <c r="B255" s="29"/>
      <c r="C255" s="29"/>
      <c r="D255" s="29"/>
      <c r="E255" s="29"/>
      <c r="F255" s="29"/>
      <c r="G255" s="29"/>
      <c r="H255" s="44"/>
      <c r="I255" s="33"/>
      <c r="J255" s="29"/>
      <c r="K255" s="29"/>
      <c r="L255" s="29"/>
      <c r="M255" s="177"/>
      <c r="N255" s="29"/>
      <c r="O255" s="996"/>
      <c r="P255" s="29"/>
      <c r="Q255" s="29"/>
      <c r="R255" s="225"/>
    </row>
    <row r="256" spans="1:18" ht="24" thickTop="1" thickBot="1">
      <c r="A256" s="265" t="s">
        <v>503</v>
      </c>
      <c r="B256" s="38" t="s">
        <v>308</v>
      </c>
      <c r="C256" s="29"/>
      <c r="D256" s="29"/>
      <c r="E256" s="29"/>
      <c r="F256" s="29"/>
      <c r="G256" s="29"/>
      <c r="H256" s="44"/>
      <c r="I256" s="361">
        <v>0.25</v>
      </c>
      <c r="J256" s="46"/>
      <c r="K256" s="29"/>
      <c r="L256" s="29"/>
      <c r="M256" s="192">
        <f>+I256</f>
        <v>0.25</v>
      </c>
      <c r="N256" s="29"/>
      <c r="O256" s="996"/>
      <c r="P256" s="29"/>
      <c r="Q256" s="29"/>
      <c r="R256" s="225"/>
    </row>
    <row r="257" spans="1:18" ht="24" thickTop="1" thickBot="1">
      <c r="A257" s="265"/>
      <c r="B257" s="38"/>
      <c r="C257" s="29"/>
      <c r="D257" s="29"/>
      <c r="E257" s="29"/>
      <c r="F257" s="29"/>
      <c r="G257" s="29"/>
      <c r="H257" s="44"/>
      <c r="I257" s="1513"/>
      <c r="J257" s="91"/>
      <c r="K257" s="29"/>
      <c r="L257" s="29"/>
      <c r="M257" s="192"/>
      <c r="N257" s="29"/>
      <c r="O257" s="996"/>
      <c r="P257" s="29"/>
      <c r="Q257" s="29"/>
      <c r="R257" s="225"/>
    </row>
    <row r="258" spans="1:18" ht="24" thickTop="1" thickBot="1">
      <c r="A258" s="265" t="s">
        <v>23</v>
      </c>
      <c r="B258" s="439" t="s">
        <v>936</v>
      </c>
      <c r="C258" s="29"/>
      <c r="D258" s="29"/>
      <c r="E258" s="29"/>
      <c r="F258" s="29"/>
      <c r="G258" s="29"/>
      <c r="H258" s="44"/>
      <c r="I258" s="361">
        <f>+I248</f>
        <v>7.0000000000000007E-2</v>
      </c>
      <c r="J258" s="91"/>
      <c r="K258" s="29"/>
      <c r="L258" s="29"/>
      <c r="M258" s="192"/>
      <c r="N258" s="29"/>
      <c r="O258" s="996"/>
      <c r="P258" s="29"/>
      <c r="Q258" s="29"/>
      <c r="R258" s="225"/>
    </row>
    <row r="259" spans="1:18" ht="24" thickTop="1" thickBot="1">
      <c r="A259" s="46"/>
      <c r="B259" s="29"/>
      <c r="C259" s="29"/>
      <c r="D259" s="29"/>
      <c r="E259" s="29"/>
      <c r="F259" s="29"/>
      <c r="G259" s="29"/>
      <c r="H259" s="44"/>
      <c r="I259" s="33"/>
      <c r="J259" s="29"/>
      <c r="K259" s="29"/>
      <c r="L259" s="29"/>
      <c r="M259" s="177"/>
      <c r="N259" s="29"/>
      <c r="O259" s="996"/>
      <c r="P259" s="29"/>
      <c r="Q259" s="29"/>
      <c r="R259" s="225"/>
    </row>
    <row r="260" spans="1:18" ht="23.4" thickTop="1">
      <c r="A260" s="303" t="s">
        <v>211</v>
      </c>
      <c r="B260" s="304"/>
      <c r="C260" s="304"/>
      <c r="D260" s="304"/>
      <c r="E260" s="304"/>
      <c r="F260" s="304"/>
      <c r="G260" s="304"/>
      <c r="H260" s="450"/>
      <c r="I260" s="305"/>
      <c r="J260" s="306"/>
      <c r="K260" s="307"/>
      <c r="L260" s="307"/>
      <c r="M260" s="307"/>
      <c r="N260" s="307"/>
      <c r="O260" s="307"/>
      <c r="P260" s="307"/>
      <c r="Q260" s="307"/>
      <c r="R260" s="308"/>
    </row>
    <row r="261" spans="1:18" ht="22.8">
      <c r="A261" s="266"/>
      <c r="B261" s="38"/>
      <c r="C261" s="29"/>
      <c r="D261" s="29"/>
      <c r="E261" s="29"/>
      <c r="F261" s="29"/>
      <c r="G261" s="29"/>
      <c r="H261" s="44"/>
      <c r="I261" s="93"/>
      <c r="J261" s="91"/>
      <c r="K261" s="29"/>
      <c r="L261" s="29"/>
      <c r="M261" s="29"/>
      <c r="N261" s="29"/>
      <c r="O261" s="29"/>
      <c r="P261" s="29"/>
      <c r="Q261" s="29"/>
      <c r="R261" s="225"/>
    </row>
    <row r="262" spans="1:18" ht="25.2">
      <c r="A262" s="369" t="str">
        <f>+$F$6</f>
        <v>COSTING SUBJECT:</v>
      </c>
      <c r="B262" s="370"/>
      <c r="C262" s="371"/>
      <c r="D262" s="29"/>
      <c r="E262" s="995" t="str">
        <f>+$I$6</f>
        <v xml:space="preserve">Line:            </v>
      </c>
      <c r="F262" s="992">
        <f>+J6</f>
        <v>1</v>
      </c>
      <c r="G262" s="29"/>
      <c r="H262" s="44"/>
      <c r="I262" s="93"/>
      <c r="J262" s="91"/>
      <c r="K262" s="29"/>
      <c r="L262" s="29"/>
      <c r="M262" s="29"/>
      <c r="N262" s="29"/>
      <c r="O262" s="29"/>
      <c r="P262" s="29"/>
      <c r="Q262" s="29"/>
      <c r="R262" s="225"/>
    </row>
    <row r="263" spans="1:18" ht="27.6">
      <c r="A263" s="369"/>
      <c r="B263" s="370"/>
      <c r="C263" s="371"/>
      <c r="D263" s="29"/>
      <c r="E263" s="374"/>
      <c r="F263" s="375"/>
      <c r="G263" s="375"/>
      <c r="H263" s="458"/>
      <c r="I263" s="372"/>
      <c r="J263" s="91"/>
      <c r="K263" s="29"/>
      <c r="L263" s="29"/>
      <c r="M263" s="29"/>
      <c r="N263" s="29"/>
      <c r="O263" s="29"/>
      <c r="P263" s="29"/>
      <c r="Q263" s="29"/>
      <c r="R263" s="225"/>
    </row>
    <row r="264" spans="1:18" ht="27.6">
      <c r="A264" s="369"/>
      <c r="B264" s="370"/>
      <c r="C264" s="371"/>
      <c r="D264" s="29"/>
      <c r="E264" s="993" t="str">
        <f>+I8</f>
        <v>Service:</v>
      </c>
      <c r="F264" s="993" t="str">
        <f>+J8</f>
        <v xml:space="preserve">Fast Passenger Train Service, </v>
      </c>
      <c r="G264" s="993"/>
      <c r="H264" s="994"/>
      <c r="I264" s="372"/>
      <c r="J264" s="91"/>
      <c r="K264" s="29"/>
      <c r="L264" s="29"/>
      <c r="M264" s="29"/>
      <c r="N264" s="29"/>
      <c r="O264" s="29"/>
      <c r="P264" s="29"/>
      <c r="Q264" s="29"/>
      <c r="R264" s="225"/>
    </row>
    <row r="265" spans="1:18" ht="27.6">
      <c r="A265" s="369"/>
      <c r="B265" s="370"/>
      <c r="C265" s="371"/>
      <c r="D265" s="29"/>
      <c r="E265" s="374"/>
      <c r="F265" s="993" t="str">
        <f>+J9</f>
        <v>Station "A" to "Station "E"</v>
      </c>
      <c r="G265" s="993"/>
      <c r="H265" s="994"/>
      <c r="I265" s="372"/>
      <c r="J265" s="91"/>
      <c r="K265" s="29"/>
      <c r="L265" s="29"/>
      <c r="M265" s="29"/>
      <c r="N265" s="29"/>
      <c r="O265" s="29"/>
      <c r="P265" s="29"/>
      <c r="Q265" s="29"/>
      <c r="R265" s="225"/>
    </row>
    <row r="266" spans="1:18" ht="27.6">
      <c r="A266" s="369"/>
      <c r="B266" s="370"/>
      <c r="C266" s="371"/>
      <c r="D266" s="29"/>
      <c r="E266" s="374"/>
      <c r="F266" s="993"/>
      <c r="G266" s="993"/>
      <c r="H266" s="994"/>
      <c r="I266" s="372"/>
      <c r="J266" s="91"/>
      <c r="K266" s="29"/>
      <c r="L266" s="29"/>
      <c r="M266" s="29"/>
      <c r="N266" s="29"/>
      <c r="O266" s="29"/>
      <c r="P266" s="29"/>
      <c r="Q266" s="29"/>
      <c r="R266" s="225"/>
    </row>
    <row r="267" spans="1:18" ht="27.6">
      <c r="A267" s="369" t="str">
        <f>+$F$10</f>
        <v>COSTING PREPARED BY:</v>
      </c>
      <c r="B267" s="370"/>
      <c r="C267" s="371"/>
      <c r="D267" s="29"/>
      <c r="E267" s="373"/>
      <c r="F267" s="993" t="str">
        <f>+I10</f>
        <v>P.J.Hodgkinson</v>
      </c>
      <c r="G267" s="29"/>
      <c r="H267" s="44"/>
      <c r="I267" s="93"/>
      <c r="J267" s="91"/>
      <c r="K267" s="29"/>
      <c r="L267" s="29"/>
      <c r="M267" s="29"/>
      <c r="N267" s="29"/>
      <c r="O267" s="29"/>
      <c r="P267" s="29"/>
      <c r="Q267" s="29"/>
      <c r="R267" s="225"/>
    </row>
    <row r="268" spans="1:18" ht="25.2">
      <c r="A268" s="369"/>
      <c r="B268" s="370"/>
      <c r="C268" s="371"/>
      <c r="D268" s="29"/>
      <c r="E268" s="373"/>
      <c r="F268" s="29"/>
      <c r="G268" s="29"/>
      <c r="H268" s="44"/>
      <c r="I268" s="93"/>
      <c r="J268" s="91"/>
      <c r="K268" s="29"/>
      <c r="L268" s="29"/>
      <c r="M268" s="29"/>
      <c r="N268" s="29"/>
      <c r="O268" s="29"/>
      <c r="P268" s="29"/>
      <c r="Q268" s="29"/>
      <c r="R268" s="225"/>
    </row>
    <row r="269" spans="1:18" ht="25.2">
      <c r="A269" s="369" t="str">
        <f>+$F$12</f>
        <v>DATE:</v>
      </c>
      <c r="B269" s="370"/>
      <c r="C269" s="371"/>
      <c r="D269" s="29"/>
      <c r="E269" s="376">
        <f ca="1">+$I$12</f>
        <v>42149</v>
      </c>
      <c r="F269" s="29"/>
      <c r="G269" s="29"/>
      <c r="H269" s="44"/>
      <c r="I269" s="93"/>
      <c r="J269" s="91"/>
      <c r="K269" s="29"/>
      <c r="L269" s="29"/>
      <c r="M269" s="29"/>
      <c r="N269" s="29"/>
      <c r="O269" s="29"/>
      <c r="P269" s="29"/>
      <c r="Q269" s="29"/>
      <c r="R269" s="225"/>
    </row>
    <row r="270" spans="1:18" ht="22.8">
      <c r="A270" s="266"/>
      <c r="B270" s="38"/>
      <c r="C270" s="29"/>
      <c r="D270" s="29"/>
      <c r="E270" s="29"/>
      <c r="F270" s="29"/>
      <c r="G270" s="29"/>
      <c r="H270" s="44"/>
      <c r="I270" s="93"/>
      <c r="J270" s="91"/>
      <c r="K270" s="29"/>
      <c r="L270" s="29"/>
      <c r="M270" s="29"/>
      <c r="N270" s="29"/>
      <c r="O270" s="29"/>
      <c r="P270" s="29"/>
      <c r="Q270" s="29"/>
      <c r="R270" s="225"/>
    </row>
    <row r="271" spans="1:18" ht="22.8">
      <c r="A271" s="266"/>
      <c r="B271" s="38"/>
      <c r="C271" s="29"/>
      <c r="D271" s="29"/>
      <c r="E271" s="29"/>
      <c r="F271" s="29"/>
      <c r="G271" s="29"/>
      <c r="H271" s="44"/>
      <c r="I271" s="93"/>
      <c r="J271" s="91"/>
      <c r="K271" s="29"/>
      <c r="L271" s="29"/>
      <c r="M271" s="29"/>
      <c r="N271" s="29"/>
      <c r="O271" s="29"/>
      <c r="P271" s="29"/>
      <c r="Q271" s="29"/>
      <c r="R271" s="225"/>
    </row>
    <row r="272" spans="1:18" ht="24.6">
      <c r="A272" s="293" t="s">
        <v>487</v>
      </c>
      <c r="B272" s="294" t="s">
        <v>109</v>
      </c>
      <c r="C272" s="294"/>
      <c r="D272" s="294"/>
      <c r="E272" s="294"/>
      <c r="F272" s="295"/>
      <c r="G272" s="29"/>
      <c r="H272" s="44"/>
      <c r="I272" s="36"/>
      <c r="J272" s="29"/>
      <c r="K272" s="29"/>
      <c r="L272" s="29"/>
      <c r="M272" s="29"/>
      <c r="N272" s="29"/>
      <c r="O272" s="29"/>
      <c r="P272" s="29"/>
      <c r="Q272" s="29"/>
      <c r="R272" s="225"/>
    </row>
    <row r="273" spans="1:18" ht="22.8">
      <c r="A273" s="46"/>
      <c r="B273" s="29"/>
      <c r="C273" s="29"/>
      <c r="D273" s="29"/>
      <c r="E273" s="29"/>
      <c r="F273" s="29"/>
      <c r="G273" s="29"/>
      <c r="H273" s="44"/>
      <c r="I273" s="197" t="s">
        <v>107</v>
      </c>
      <c r="J273" s="30"/>
      <c r="K273" s="51" t="s">
        <v>310</v>
      </c>
      <c r="L273" s="30"/>
      <c r="M273" s="52" t="s">
        <v>309</v>
      </c>
      <c r="N273" s="52"/>
      <c r="O273" s="52" t="s">
        <v>311</v>
      </c>
      <c r="P273" s="30"/>
      <c r="Q273" s="52" t="s">
        <v>312</v>
      </c>
      <c r="R273" s="226"/>
    </row>
    <row r="274" spans="1:18" ht="22.8">
      <c r="A274" s="272" t="s">
        <v>102</v>
      </c>
      <c r="B274" s="195" t="s">
        <v>103</v>
      </c>
      <c r="C274" s="29"/>
      <c r="D274" s="29"/>
      <c r="E274" s="29"/>
      <c r="F274" s="29"/>
      <c r="G274" s="29"/>
      <c r="H274" s="44"/>
      <c r="I274" s="30"/>
      <c r="J274" s="30"/>
      <c r="K274" s="52"/>
      <c r="L274" s="29"/>
      <c r="M274" s="52"/>
      <c r="N274" s="29"/>
      <c r="O274" s="52" t="s">
        <v>106</v>
      </c>
      <c r="P274" s="35"/>
      <c r="Q274" s="52"/>
      <c r="R274" s="226"/>
    </row>
    <row r="275" spans="1:18" ht="22.8">
      <c r="A275" s="46"/>
      <c r="B275" s="29"/>
      <c r="C275" s="29"/>
      <c r="D275" s="29"/>
      <c r="E275" s="29"/>
      <c r="F275" s="29"/>
      <c r="G275" s="29"/>
      <c r="H275" s="44"/>
      <c r="I275" s="30"/>
      <c r="J275" s="30"/>
      <c r="K275" s="52"/>
      <c r="L275" s="29"/>
      <c r="M275" s="52"/>
      <c r="N275" s="29"/>
      <c r="O275" s="52"/>
      <c r="P275" s="35"/>
      <c r="Q275" s="52"/>
      <c r="R275" s="226"/>
    </row>
    <row r="276" spans="1:18" ht="22.8">
      <c r="A276" s="265" t="s">
        <v>504</v>
      </c>
      <c r="B276" s="38" t="s">
        <v>493</v>
      </c>
      <c r="C276" s="29"/>
      <c r="D276" s="29"/>
      <c r="E276" s="29"/>
      <c r="F276" s="29"/>
      <c r="G276" s="29"/>
      <c r="H276" s="54"/>
      <c r="I276" s="890">
        <f>+I123*I187</f>
        <v>3990000</v>
      </c>
      <c r="J276" s="30"/>
      <c r="K276" s="98">
        <f>+I276/$K$105</f>
        <v>1250</v>
      </c>
      <c r="L276" s="53"/>
      <c r="M276" s="98">
        <f>+K276/$I$69</f>
        <v>178.57142857142858</v>
      </c>
      <c r="N276" s="53"/>
      <c r="O276" s="201">
        <f>+I276/$I$45</f>
        <v>3.6272727272727274</v>
      </c>
      <c r="P276" s="53"/>
      <c r="Q276" s="203">
        <f>+I276/($I$45*$I$47)</f>
        <v>1.2454170966251019E-2</v>
      </c>
      <c r="R276" s="227"/>
    </row>
    <row r="277" spans="1:18" ht="22.8">
      <c r="A277" s="46"/>
      <c r="B277" s="29"/>
      <c r="C277" s="29"/>
      <c r="D277" s="29"/>
      <c r="E277" s="29"/>
      <c r="F277" s="29"/>
      <c r="G277" s="29"/>
      <c r="H277" s="44"/>
      <c r="I277" s="891"/>
      <c r="J277" s="30"/>
      <c r="K277" s="36"/>
      <c r="L277" s="53"/>
      <c r="M277" s="53"/>
      <c r="N277" s="53"/>
      <c r="O277" s="53"/>
      <c r="P277" s="53"/>
      <c r="Q277" s="54"/>
      <c r="R277" s="228"/>
    </row>
    <row r="278" spans="1:18" ht="22.8">
      <c r="A278" s="265" t="s">
        <v>505</v>
      </c>
      <c r="B278" s="86" t="s">
        <v>525</v>
      </c>
      <c r="C278" s="29"/>
      <c r="D278" s="29"/>
      <c r="E278" s="29"/>
      <c r="F278" s="29"/>
      <c r="G278" s="29"/>
      <c r="H278" s="54"/>
      <c r="I278" s="890">
        <f>+I157*I189+I159*I191</f>
        <v>4697166.0093214791</v>
      </c>
      <c r="J278" s="30"/>
      <c r="K278" s="98">
        <f>+I278/$K$105</f>
        <v>1471.5432360029697</v>
      </c>
      <c r="L278" s="53"/>
      <c r="M278" s="98">
        <f>+K278/$I$69</f>
        <v>210.22046228613854</v>
      </c>
      <c r="N278" s="53"/>
      <c r="O278" s="201">
        <f t="shared" ref="O278:O284" si="0">+I278/$I$45</f>
        <v>4.2701509175649814</v>
      </c>
      <c r="P278" s="53"/>
      <c r="Q278" s="203">
        <f t="shared" ref="Q278:Q284" si="1">+I278/($I$45*$I$47)</f>
        <v>1.4661480836329005E-2</v>
      </c>
      <c r="R278" s="227"/>
    </row>
    <row r="279" spans="1:18" ht="22.8">
      <c r="A279" s="46"/>
      <c r="B279" s="29"/>
      <c r="C279" s="29"/>
      <c r="D279" s="29"/>
      <c r="E279" s="29"/>
      <c r="F279" s="29"/>
      <c r="G279" s="29"/>
      <c r="H279" s="44"/>
      <c r="I279" s="891"/>
      <c r="J279" s="30"/>
      <c r="K279" s="36"/>
      <c r="L279" s="53"/>
      <c r="M279" s="53"/>
      <c r="N279" s="53"/>
      <c r="O279" s="201"/>
      <c r="P279" s="53"/>
      <c r="Q279" s="203"/>
      <c r="R279" s="228"/>
    </row>
    <row r="280" spans="1:18" ht="22.8">
      <c r="A280" s="265" t="s">
        <v>507</v>
      </c>
      <c r="B280" s="38" t="s">
        <v>496</v>
      </c>
      <c r="C280" s="29"/>
      <c r="D280" s="29"/>
      <c r="E280" s="29"/>
      <c r="F280" s="29"/>
      <c r="G280" s="29"/>
      <c r="H280" s="44"/>
      <c r="I280" s="890">
        <f>+(I145*1000)*I193</f>
        <v>0</v>
      </c>
      <c r="J280" s="30"/>
      <c r="K280" s="98">
        <f>+I280/$K$105</f>
        <v>0</v>
      </c>
      <c r="L280" s="53"/>
      <c r="M280" s="98">
        <f>+K280/$I$69</f>
        <v>0</v>
      </c>
      <c r="N280" s="53"/>
      <c r="O280" s="201">
        <f t="shared" si="0"/>
        <v>0</v>
      </c>
      <c r="P280" s="53"/>
      <c r="Q280" s="203">
        <f t="shared" si="1"/>
        <v>0</v>
      </c>
      <c r="R280" s="227"/>
    </row>
    <row r="281" spans="1:18" ht="22.8">
      <c r="A281" s="46"/>
      <c r="B281" s="29"/>
      <c r="C281" s="29"/>
      <c r="D281" s="29"/>
      <c r="E281" s="29"/>
      <c r="F281" s="29"/>
      <c r="G281" s="29"/>
      <c r="H281" s="44"/>
      <c r="I281" s="891"/>
      <c r="J281" s="30"/>
      <c r="K281" s="53"/>
      <c r="L281" s="53"/>
      <c r="M281" s="53"/>
      <c r="N281" s="53"/>
      <c r="O281" s="201"/>
      <c r="P281" s="53"/>
      <c r="Q281" s="203"/>
      <c r="R281" s="228"/>
    </row>
    <row r="282" spans="1:18" ht="22.8">
      <c r="A282" s="265" t="s">
        <v>509</v>
      </c>
      <c r="B282" s="38" t="s">
        <v>314</v>
      </c>
      <c r="C282" s="29"/>
      <c r="D282" s="29"/>
      <c r="E282" s="29"/>
      <c r="F282" s="29"/>
      <c r="G282" s="29"/>
      <c r="H282" s="44"/>
      <c r="I282" s="890">
        <f>+(I147*1000)*I195</f>
        <v>5670907.2000000002</v>
      </c>
      <c r="J282" s="30"/>
      <c r="K282" s="98">
        <f>+I282/$K$105</f>
        <v>1776.6000000000001</v>
      </c>
      <c r="L282" s="53"/>
      <c r="M282" s="98">
        <f>+K282/$I$69</f>
        <v>253.8</v>
      </c>
      <c r="N282" s="53"/>
      <c r="O282" s="201">
        <f t="shared" si="0"/>
        <v>5.1553701818181823</v>
      </c>
      <c r="P282" s="53"/>
      <c r="Q282" s="203">
        <f t="shared" si="1"/>
        <v>1.7700864110913248E-2</v>
      </c>
      <c r="R282" s="227"/>
    </row>
    <row r="283" spans="1:18" ht="22.8">
      <c r="A283" s="39"/>
      <c r="B283" s="29"/>
      <c r="C283" s="29"/>
      <c r="D283" s="29"/>
      <c r="E283" s="29"/>
      <c r="F283" s="29"/>
      <c r="G283" s="29"/>
      <c r="H283" s="44"/>
      <c r="I283" s="891"/>
      <c r="J283" s="30"/>
      <c r="K283" s="53"/>
      <c r="L283" s="53"/>
      <c r="M283" s="53"/>
      <c r="N283" s="53"/>
      <c r="O283" s="201"/>
      <c r="P283" s="53"/>
      <c r="Q283" s="203"/>
      <c r="R283" s="228"/>
    </row>
    <row r="284" spans="1:18" ht="22.8">
      <c r="A284" s="265" t="s">
        <v>510</v>
      </c>
      <c r="B284" s="38" t="s">
        <v>500</v>
      </c>
      <c r="C284" s="29"/>
      <c r="D284" s="29"/>
      <c r="E284" s="29"/>
      <c r="F284" s="29"/>
      <c r="G284" s="29"/>
      <c r="H284" s="44"/>
      <c r="I284" s="890">
        <f>+(I151*1000)*I197</f>
        <v>244961.38398241292</v>
      </c>
      <c r="J284" s="30"/>
      <c r="K284" s="98">
        <f>+I284/$K$105</f>
        <v>76.74228821504164</v>
      </c>
      <c r="L284" s="53"/>
      <c r="M284" s="98">
        <f>+K284/$I$69</f>
        <v>10.963184030720234</v>
      </c>
      <c r="N284" s="53"/>
      <c r="O284" s="201">
        <f t="shared" si="0"/>
        <v>0.22269216725673902</v>
      </c>
      <c r="P284" s="53"/>
      <c r="Q284" s="203">
        <f t="shared" si="1"/>
        <v>7.646092622171515E-4</v>
      </c>
      <c r="R284" s="227"/>
    </row>
    <row r="285" spans="1:18" ht="22.8">
      <c r="A285" s="266"/>
      <c r="B285" s="38"/>
      <c r="C285" s="29"/>
      <c r="D285" s="29"/>
      <c r="E285" s="29"/>
      <c r="F285" s="29"/>
      <c r="G285" s="29"/>
      <c r="H285" s="44"/>
      <c r="I285" s="891"/>
      <c r="J285" s="30"/>
      <c r="K285" s="36"/>
      <c r="L285" s="53"/>
      <c r="M285" s="53"/>
      <c r="N285" s="53"/>
      <c r="O285" s="53"/>
      <c r="P285" s="53"/>
      <c r="Q285" s="90"/>
      <c r="R285" s="228"/>
    </row>
    <row r="286" spans="1:18" ht="22.8">
      <c r="A286" s="265" t="s">
        <v>512</v>
      </c>
      <c r="B286" s="38"/>
      <c r="C286" s="45" t="s">
        <v>110</v>
      </c>
      <c r="D286" s="29"/>
      <c r="E286" s="29"/>
      <c r="F286" s="29"/>
      <c r="G286" s="29"/>
      <c r="H286" s="44"/>
      <c r="I286" s="893">
        <f>SUM(I276:I285)</f>
        <v>14603034.593303893</v>
      </c>
      <c r="J286" s="30"/>
      <c r="K286" s="200">
        <f>SUM(K276:K285)</f>
        <v>4574.8855242180116</v>
      </c>
      <c r="L286" s="53"/>
      <c r="M286" s="200">
        <f>SUM(M276:M285)</f>
        <v>653.55507488828732</v>
      </c>
      <c r="N286" s="53"/>
      <c r="O286" s="202">
        <f>SUM(O276:O285)</f>
        <v>13.275485993912628</v>
      </c>
      <c r="P286" s="53"/>
      <c r="Q286" s="204">
        <f>SUM(Q276:Q285)</f>
        <v>4.5581125175710419E-2</v>
      </c>
      <c r="R286" s="229"/>
    </row>
    <row r="287" spans="1:18" ht="22.8">
      <c r="A287" s="266"/>
      <c r="B287" s="38"/>
      <c r="C287" s="29"/>
      <c r="D287" s="29"/>
      <c r="E287" s="29"/>
      <c r="F287" s="29"/>
      <c r="G287" s="29"/>
      <c r="H287" s="44"/>
      <c r="I287" s="891"/>
      <c r="J287" s="30"/>
      <c r="K287" s="36"/>
      <c r="L287" s="53"/>
      <c r="M287" s="53"/>
      <c r="N287" s="53"/>
      <c r="O287" s="53"/>
      <c r="P287" s="53"/>
      <c r="Q287" s="54"/>
      <c r="R287" s="228"/>
    </row>
    <row r="288" spans="1:18" ht="22.8">
      <c r="A288" s="266"/>
      <c r="B288" s="38"/>
      <c r="C288" s="29"/>
      <c r="D288" s="29"/>
      <c r="E288" s="29"/>
      <c r="F288" s="29"/>
      <c r="G288" s="29"/>
      <c r="H288" s="44"/>
      <c r="I288" s="891"/>
      <c r="J288" s="30"/>
      <c r="K288" s="36"/>
      <c r="L288" s="53"/>
      <c r="M288" s="53"/>
      <c r="N288" s="53"/>
      <c r="O288" s="53"/>
      <c r="P288" s="53"/>
      <c r="Q288" s="54"/>
      <c r="R288" s="228"/>
    </row>
    <row r="289" spans="1:18" ht="22.8">
      <c r="A289" s="273" t="s">
        <v>123</v>
      </c>
      <c r="B289" s="195" t="s">
        <v>124</v>
      </c>
      <c r="C289" s="29"/>
      <c r="D289" s="29"/>
      <c r="E289" s="29"/>
      <c r="F289" s="29"/>
      <c r="G289" s="29"/>
      <c r="H289" s="44"/>
      <c r="I289" s="891"/>
      <c r="J289" s="30"/>
      <c r="K289" s="36"/>
      <c r="L289" s="53"/>
      <c r="M289" s="53"/>
      <c r="N289" s="53"/>
      <c r="O289" s="53"/>
      <c r="P289" s="53"/>
      <c r="Q289" s="54"/>
      <c r="R289" s="228"/>
    </row>
    <row r="290" spans="1:18" ht="22.8">
      <c r="A290" s="266"/>
      <c r="B290" s="38"/>
      <c r="C290" s="29"/>
      <c r="D290" s="29"/>
      <c r="E290" s="29"/>
      <c r="F290" s="29"/>
      <c r="G290" s="29"/>
      <c r="H290" s="44"/>
      <c r="I290" s="891"/>
      <c r="J290" s="30"/>
      <c r="K290" s="36"/>
      <c r="L290" s="53"/>
      <c r="M290" s="53"/>
      <c r="N290" s="53"/>
      <c r="O290" s="53"/>
      <c r="P290" s="53"/>
      <c r="Q290" s="54"/>
      <c r="R290" s="228"/>
    </row>
    <row r="291" spans="1:18" ht="22.8">
      <c r="A291" s="265" t="s">
        <v>513</v>
      </c>
      <c r="B291" s="38" t="s">
        <v>511</v>
      </c>
      <c r="C291" s="29"/>
      <c r="D291" s="29"/>
      <c r="E291" s="29"/>
      <c r="F291" s="29"/>
      <c r="G291" s="29"/>
      <c r="H291" s="44"/>
      <c r="I291" s="1009">
        <f>+I199*I163</f>
        <v>3373097.6</v>
      </c>
      <c r="J291" s="30"/>
      <c r="K291" s="98">
        <f>+I291/$K$105</f>
        <v>1056.7348370927318</v>
      </c>
      <c r="L291" s="53"/>
      <c r="M291" s="98">
        <f>+K291/$I$69</f>
        <v>150.96211958467597</v>
      </c>
      <c r="N291" s="53"/>
      <c r="O291" s="201">
        <f>+I291/$I$45</f>
        <v>3.0664523636363636</v>
      </c>
      <c r="P291" s="53"/>
      <c r="Q291" s="203">
        <f>+I291/($I$45*$I$47)</f>
        <v>1.0528605061717041E-2</v>
      </c>
      <c r="R291" s="227"/>
    </row>
    <row r="292" spans="1:18" ht="22.8">
      <c r="A292" s="266"/>
      <c r="B292" s="38"/>
      <c r="C292" s="29"/>
      <c r="D292" s="29"/>
      <c r="E292" s="29"/>
      <c r="F292" s="29"/>
      <c r="G292" s="29"/>
      <c r="H292" s="44"/>
      <c r="I292" s="891"/>
      <c r="J292" s="30"/>
      <c r="K292" s="36"/>
      <c r="L292" s="53"/>
      <c r="M292" s="53"/>
      <c r="N292" s="53"/>
      <c r="O292" s="201"/>
      <c r="P292" s="53"/>
      <c r="Q292" s="203"/>
      <c r="R292" s="228"/>
    </row>
    <row r="293" spans="1:18" ht="22.8">
      <c r="A293" s="265" t="s">
        <v>514</v>
      </c>
      <c r="B293" s="38" t="s">
        <v>126</v>
      </c>
      <c r="C293" s="29"/>
      <c r="D293" s="29"/>
      <c r="E293" s="29"/>
      <c r="F293" s="29"/>
      <c r="G293" s="29"/>
      <c r="H293" s="44"/>
      <c r="I293" s="890">
        <f>+I201*I30</f>
        <v>1398720</v>
      </c>
      <c r="J293" s="30"/>
      <c r="K293" s="98">
        <f>+I293/$K$105</f>
        <v>438.19548872180451</v>
      </c>
      <c r="L293" s="53"/>
      <c r="M293" s="98">
        <f>+K293/$I$69</f>
        <v>62.599355531686356</v>
      </c>
      <c r="N293" s="53"/>
      <c r="O293" s="201">
        <f>+I293/$I$45</f>
        <v>1.2715636363636365</v>
      </c>
      <c r="P293" s="53"/>
      <c r="Q293" s="203">
        <f>+I293/($I$45*$I$47)</f>
        <v>4.3658892265450193E-3</v>
      </c>
      <c r="R293" s="227"/>
    </row>
    <row r="294" spans="1:18" ht="22.8">
      <c r="A294" s="266"/>
      <c r="B294" s="38"/>
      <c r="C294" s="29"/>
      <c r="D294" s="29"/>
      <c r="E294" s="29"/>
      <c r="F294" s="29"/>
      <c r="G294" s="29"/>
      <c r="H294" s="44"/>
      <c r="I294" s="891"/>
      <c r="J294" s="30"/>
      <c r="K294" s="36"/>
      <c r="L294" s="53"/>
      <c r="M294" s="53"/>
      <c r="N294" s="53"/>
      <c r="O294" s="201"/>
      <c r="P294" s="53"/>
      <c r="Q294" s="203"/>
      <c r="R294" s="228"/>
    </row>
    <row r="295" spans="1:18" ht="22.8">
      <c r="A295" s="265" t="s">
        <v>518</v>
      </c>
      <c r="B295" s="38" t="s">
        <v>127</v>
      </c>
      <c r="C295" s="29"/>
      <c r="D295" s="29"/>
      <c r="E295" s="29"/>
      <c r="F295" s="29"/>
      <c r="G295" s="29"/>
      <c r="H295" s="44"/>
      <c r="I295" s="890">
        <f>+I203</f>
        <v>0</v>
      </c>
      <c r="J295" s="30"/>
      <c r="K295" s="98">
        <f>+I295/$K$105</f>
        <v>0</v>
      </c>
      <c r="L295" s="53"/>
      <c r="M295" s="98">
        <f>+K295/$I$69</f>
        <v>0</v>
      </c>
      <c r="N295" s="53"/>
      <c r="O295" s="201">
        <f>+I295/$I$45</f>
        <v>0</v>
      </c>
      <c r="P295" s="53"/>
      <c r="Q295" s="203">
        <f>+I295/($I$45*$I$47)</f>
        <v>0</v>
      </c>
      <c r="R295" s="227"/>
    </row>
    <row r="296" spans="1:18" ht="22.8">
      <c r="A296" s="266"/>
      <c r="B296" s="38"/>
      <c r="C296" s="29"/>
      <c r="D296" s="29"/>
      <c r="E296" s="29"/>
      <c r="F296" s="29"/>
      <c r="G296" s="29"/>
      <c r="H296" s="44"/>
      <c r="I296" s="891"/>
      <c r="J296" s="30"/>
      <c r="K296" s="36"/>
      <c r="L296" s="53"/>
      <c r="M296" s="53"/>
      <c r="N296" s="53"/>
      <c r="O296" s="53"/>
      <c r="P296" s="53"/>
      <c r="Q296" s="54"/>
      <c r="R296" s="228"/>
    </row>
    <row r="297" spans="1:18" ht="22.8">
      <c r="A297" s="265" t="s">
        <v>519</v>
      </c>
      <c r="B297" s="38"/>
      <c r="C297" s="45" t="s">
        <v>130</v>
      </c>
      <c r="D297" s="29"/>
      <c r="E297" s="29"/>
      <c r="F297" s="29"/>
      <c r="G297" s="29"/>
      <c r="H297" s="44"/>
      <c r="I297" s="894">
        <f>SUM(I291:I295)</f>
        <v>4771817.5999999996</v>
      </c>
      <c r="J297" s="30"/>
      <c r="K297" s="206">
        <f>SUM(K291:K295)</f>
        <v>1494.9303258145364</v>
      </c>
      <c r="L297" s="53"/>
      <c r="M297" s="206">
        <f>SUM(M291:M295)</f>
        <v>213.56147511636232</v>
      </c>
      <c r="N297" s="53"/>
      <c r="O297" s="207">
        <f>SUM(O291:O295)</f>
        <v>4.3380159999999997</v>
      </c>
      <c r="P297" s="53"/>
      <c r="Q297" s="208">
        <f>SUM(Q291:Q295)</f>
        <v>1.4894494288262061E-2</v>
      </c>
      <c r="R297" s="230"/>
    </row>
    <row r="298" spans="1:18" ht="22.8">
      <c r="A298" s="266"/>
      <c r="B298" s="38"/>
      <c r="C298" s="29"/>
      <c r="D298" s="29"/>
      <c r="E298" s="29"/>
      <c r="F298" s="29"/>
      <c r="G298" s="29"/>
      <c r="H298" s="44"/>
      <c r="I298" s="891"/>
      <c r="J298" s="30"/>
      <c r="K298" s="36"/>
      <c r="L298" s="53"/>
      <c r="M298" s="53"/>
      <c r="N298" s="53"/>
      <c r="O298" s="53"/>
      <c r="P298" s="53"/>
      <c r="Q298" s="54"/>
      <c r="R298" s="228"/>
    </row>
    <row r="299" spans="1:18" ht="22.8">
      <c r="A299" s="273" t="s">
        <v>129</v>
      </c>
      <c r="B299" s="210" t="s">
        <v>138</v>
      </c>
      <c r="C299" s="29"/>
      <c r="D299" s="29"/>
      <c r="E299" s="29"/>
      <c r="F299" s="29"/>
      <c r="G299" s="29"/>
      <c r="H299" s="44"/>
      <c r="I299" s="891"/>
      <c r="J299" s="30"/>
      <c r="K299" s="36"/>
      <c r="L299" s="53"/>
      <c r="M299" s="53"/>
      <c r="N299" s="53"/>
      <c r="O299" s="53"/>
      <c r="P299" s="53"/>
      <c r="Q299" s="54"/>
      <c r="R299" s="228"/>
    </row>
    <row r="300" spans="1:18" ht="23.4" thickBot="1">
      <c r="A300" s="266"/>
      <c r="B300" s="38"/>
      <c r="C300" s="29"/>
      <c r="D300" s="29"/>
      <c r="E300" s="29"/>
      <c r="F300" s="29"/>
      <c r="G300" s="29"/>
      <c r="H300" s="44"/>
      <c r="I300" s="891"/>
      <c r="J300" s="30"/>
      <c r="K300" s="36"/>
      <c r="L300" s="53"/>
      <c r="M300" s="53"/>
      <c r="N300" s="53"/>
      <c r="O300" s="53"/>
      <c r="P300" s="53"/>
      <c r="Q300" s="54"/>
      <c r="R300" s="228"/>
    </row>
    <row r="301" spans="1:18" ht="24" thickTop="1" thickBot="1">
      <c r="A301" s="265" t="s">
        <v>520</v>
      </c>
      <c r="B301" s="38" t="s">
        <v>139</v>
      </c>
      <c r="C301" s="29"/>
      <c r="D301" s="29"/>
      <c r="E301" s="29"/>
      <c r="F301" s="29"/>
      <c r="G301" s="356">
        <v>0.3</v>
      </c>
      <c r="H301" s="459" t="s">
        <v>140</v>
      </c>
      <c r="I301" s="890">
        <f>+(I286+I297)*G301</f>
        <v>5812455.6579911672</v>
      </c>
      <c r="J301" s="30"/>
      <c r="K301" s="98">
        <f>+I301/$K$105</f>
        <v>1820.9447550097641</v>
      </c>
      <c r="L301" s="53"/>
      <c r="M301" s="98">
        <f>+K301/$I$69</f>
        <v>260.13496500139485</v>
      </c>
      <c r="N301" s="53"/>
      <c r="O301" s="201">
        <f>+I301/$I$45</f>
        <v>5.2840505981737884</v>
      </c>
      <c r="P301" s="53"/>
      <c r="Q301" s="203">
        <f>+I301/($I$45*$I$47)</f>
        <v>1.8142685839191743E-2</v>
      </c>
      <c r="R301" s="227"/>
    </row>
    <row r="302" spans="1:18" ht="23.4" thickTop="1">
      <c r="A302" s="266"/>
      <c r="B302" s="38"/>
      <c r="C302" s="29"/>
      <c r="D302" s="29"/>
      <c r="E302" s="29"/>
      <c r="F302" s="29"/>
      <c r="G302" s="29"/>
      <c r="H302" s="44"/>
      <c r="I302" s="891"/>
      <c r="J302" s="30"/>
      <c r="K302" s="36"/>
      <c r="L302" s="53"/>
      <c r="M302" s="53"/>
      <c r="N302" s="53"/>
      <c r="O302" s="201"/>
      <c r="P302" s="53"/>
      <c r="Q302" s="203"/>
      <c r="R302" s="228"/>
    </row>
    <row r="303" spans="1:18" ht="22.8">
      <c r="A303" s="265" t="s">
        <v>521</v>
      </c>
      <c r="B303" s="38" t="s">
        <v>141</v>
      </c>
      <c r="C303" s="29"/>
      <c r="D303" s="29"/>
      <c r="E303" s="29"/>
      <c r="F303" s="29"/>
      <c r="G303" s="93">
        <v>0.05</v>
      </c>
      <c r="H303" s="460"/>
      <c r="I303" s="890">
        <f>sysdata!D238*1000000</f>
        <v>230071.55193683691</v>
      </c>
      <c r="J303" s="30"/>
      <c r="K303" s="98">
        <f>+I303/$K$105</f>
        <v>72.077553864923843</v>
      </c>
      <c r="L303" s="53"/>
      <c r="M303" s="98">
        <f>+K303/$I$69</f>
        <v>10.296793409274835</v>
      </c>
      <c r="N303" s="53"/>
      <c r="O303" s="201">
        <f>+I303/$I$45</f>
        <v>0.20915595630621536</v>
      </c>
      <c r="P303" s="53"/>
      <c r="Q303" s="203">
        <f>+I303/($I$45*$I$47)</f>
        <v>7.1813294293034276E-4</v>
      </c>
      <c r="R303" s="227"/>
    </row>
    <row r="304" spans="1:18" ht="22.8">
      <c r="A304" s="266"/>
      <c r="B304" s="38"/>
      <c r="C304" s="29"/>
      <c r="D304" s="29"/>
      <c r="E304" s="29"/>
      <c r="F304" s="29"/>
      <c r="G304" s="29"/>
      <c r="H304" s="460"/>
      <c r="I304" s="891"/>
      <c r="J304" s="30"/>
      <c r="K304" s="36"/>
      <c r="L304" s="53"/>
      <c r="M304" s="53"/>
      <c r="N304" s="53"/>
      <c r="O304" s="53"/>
      <c r="P304" s="53"/>
      <c r="Q304" s="54"/>
      <c r="R304" s="228"/>
    </row>
    <row r="305" spans="1:18" ht="22.8">
      <c r="A305" s="266"/>
      <c r="B305" s="38"/>
      <c r="C305" s="45" t="s">
        <v>143</v>
      </c>
      <c r="D305" s="29"/>
      <c r="E305" s="29"/>
      <c r="F305" s="29"/>
      <c r="G305" s="29"/>
      <c r="H305" s="460"/>
      <c r="I305" s="894">
        <f>SUM(I301:I303)</f>
        <v>6042527.2099280041</v>
      </c>
      <c r="J305" s="30"/>
      <c r="K305" s="206">
        <f>SUM(K301:K303)</f>
        <v>1893.022308874688</v>
      </c>
      <c r="L305" s="53"/>
      <c r="M305" s="206">
        <f>SUM(M301:M303)</f>
        <v>270.43175841066966</v>
      </c>
      <c r="N305" s="53"/>
      <c r="O305" s="207">
        <f>SUM(O301:O303)</f>
        <v>5.4932065544800039</v>
      </c>
      <c r="P305" s="53"/>
      <c r="Q305" s="208">
        <f>SUM(Q301:Q303)</f>
        <v>1.8860818782122084E-2</v>
      </c>
      <c r="R305" s="230"/>
    </row>
    <row r="306" spans="1:18" ht="22.8">
      <c r="A306" s="266"/>
      <c r="B306" s="38"/>
      <c r="C306" s="45"/>
      <c r="D306" s="29"/>
      <c r="E306" s="29"/>
      <c r="F306" s="29"/>
      <c r="G306" s="29"/>
      <c r="H306" s="460"/>
      <c r="I306" s="894"/>
      <c r="J306" s="30"/>
      <c r="K306" s="206"/>
      <c r="L306" s="53"/>
      <c r="M306" s="206"/>
      <c r="N306" s="53"/>
      <c r="O306" s="207"/>
      <c r="P306" s="53"/>
      <c r="Q306" s="208"/>
      <c r="R306" s="230"/>
    </row>
    <row r="307" spans="1:18" ht="22.8">
      <c r="A307" s="266"/>
      <c r="B307" s="38"/>
      <c r="C307" s="45"/>
      <c r="D307" s="29"/>
      <c r="E307" s="29"/>
      <c r="F307" s="29"/>
      <c r="G307" s="29"/>
      <c r="H307" s="460"/>
      <c r="I307" s="894"/>
      <c r="J307" s="30"/>
      <c r="K307" s="206"/>
      <c r="L307" s="53"/>
      <c r="M307" s="206"/>
      <c r="N307" s="53"/>
      <c r="O307" s="207"/>
      <c r="P307" s="53"/>
      <c r="Q307" s="208"/>
      <c r="R307" s="230"/>
    </row>
    <row r="308" spans="1:18" ht="22.8">
      <c r="A308" s="273" t="s">
        <v>142</v>
      </c>
      <c r="B308" s="210" t="s">
        <v>531</v>
      </c>
      <c r="C308" s="29"/>
      <c r="D308" s="29"/>
      <c r="E308" s="29"/>
      <c r="F308" s="29"/>
      <c r="G308" s="29"/>
      <c r="H308" s="44"/>
      <c r="I308" s="891"/>
      <c r="J308" s="30"/>
      <c r="K308" s="36"/>
      <c r="L308" s="53"/>
      <c r="M308" s="53"/>
      <c r="N308" s="53"/>
      <c r="O308" s="53"/>
      <c r="P308" s="53"/>
      <c r="Q308" s="54"/>
      <c r="R308" s="228"/>
    </row>
    <row r="309" spans="1:18" ht="22.8">
      <c r="A309" s="266"/>
      <c r="B309" s="38"/>
      <c r="C309" s="29"/>
      <c r="D309" s="29"/>
      <c r="E309" s="29"/>
      <c r="F309" s="29"/>
      <c r="G309" s="29"/>
      <c r="H309" s="44"/>
      <c r="I309" s="891"/>
      <c r="J309" s="30"/>
      <c r="K309" s="36"/>
      <c r="L309" s="53"/>
      <c r="M309" s="53"/>
      <c r="N309" s="53"/>
      <c r="O309" s="53"/>
      <c r="P309" s="53"/>
      <c r="Q309" s="54"/>
      <c r="R309" s="228"/>
    </row>
    <row r="310" spans="1:18" ht="22.8">
      <c r="A310" s="265" t="s">
        <v>522</v>
      </c>
      <c r="B310" s="211" t="s">
        <v>508</v>
      </c>
      <c r="C310" s="30"/>
      <c r="D310" s="29"/>
      <c r="E310" s="29"/>
      <c r="F310" s="29"/>
      <c r="G310" s="29"/>
      <c r="H310" s="44"/>
      <c r="I310" s="891"/>
      <c r="J310" s="30"/>
      <c r="K310" s="36"/>
      <c r="L310" s="53"/>
      <c r="M310" s="53"/>
      <c r="N310" s="53"/>
      <c r="O310" s="53"/>
      <c r="P310" s="53"/>
      <c r="Q310" s="54"/>
      <c r="R310" s="228"/>
    </row>
    <row r="311" spans="1:18" ht="22.8">
      <c r="A311" s="265"/>
      <c r="B311" s="94"/>
      <c r="C311" s="30"/>
      <c r="D311" s="29"/>
      <c r="E311" s="29"/>
      <c r="F311" s="29"/>
      <c r="G311" s="29"/>
      <c r="H311" s="44"/>
      <c r="I311" s="891"/>
      <c r="J311" s="30"/>
      <c r="K311" s="36"/>
      <c r="L311" s="53"/>
      <c r="M311" s="53"/>
      <c r="N311" s="53"/>
      <c r="O311" s="53"/>
      <c r="P311" s="53"/>
      <c r="Q311" s="54"/>
      <c r="R311" s="228"/>
    </row>
    <row r="312" spans="1:18" ht="22.8">
      <c r="A312" s="265" t="s">
        <v>339</v>
      </c>
      <c r="B312" s="38" t="s">
        <v>89</v>
      </c>
      <c r="C312" s="38"/>
      <c r="D312" s="29"/>
      <c r="E312" s="29"/>
      <c r="F312" s="29"/>
      <c r="G312" s="29"/>
      <c r="H312" s="44"/>
      <c r="I312" s="890">
        <f>+((I220*(1-I224))/I222)*(1+I226)</f>
        <v>17435332.345648717</v>
      </c>
      <c r="J312" s="30"/>
      <c r="K312" s="98">
        <f>+I312/$K$105</f>
        <v>5462.1968501405754</v>
      </c>
      <c r="L312" s="53"/>
      <c r="M312" s="98">
        <f>+K312/$I$69</f>
        <v>780.3138357343679</v>
      </c>
      <c r="N312" s="53"/>
      <c r="O312" s="201">
        <f t="shared" ref="O312:O320" si="2">+I312/$I$45</f>
        <v>15.850302132407924</v>
      </c>
      <c r="P312" s="53"/>
      <c r="Q312" s="203">
        <f t="shared" ref="Q312:Q320" si="3">+I312/($I$45*$I$47)</f>
        <v>5.442170673837482E-2</v>
      </c>
      <c r="R312" s="227"/>
    </row>
    <row r="313" spans="1:18" ht="22.8">
      <c r="A313" s="265"/>
      <c r="B313" s="38"/>
      <c r="C313" s="38"/>
      <c r="D313" s="29"/>
      <c r="E313" s="29"/>
      <c r="F313" s="29"/>
      <c r="G313" s="29"/>
      <c r="H313" s="44"/>
      <c r="I313" s="890"/>
      <c r="J313" s="30"/>
      <c r="K313" s="98"/>
      <c r="L313" s="53"/>
      <c r="M313" s="98"/>
      <c r="N313" s="53"/>
      <c r="O313" s="201"/>
      <c r="P313" s="53"/>
      <c r="Q313" s="203"/>
      <c r="R313" s="227"/>
    </row>
    <row r="314" spans="1:18" ht="22.8">
      <c r="A314" s="265" t="s">
        <v>340</v>
      </c>
      <c r="B314" s="38" t="s">
        <v>131</v>
      </c>
      <c r="C314" s="38"/>
      <c r="D314" s="29"/>
      <c r="E314" s="29"/>
      <c r="F314" s="29"/>
      <c r="G314" s="29"/>
      <c r="H314" s="44"/>
      <c r="I314" s="890">
        <f>+((I232*(1-I236))/I234)*(1+I238)</f>
        <v>611842.49201277958</v>
      </c>
      <c r="J314" s="30"/>
      <c r="K314" s="98">
        <f>+I314/$K$105</f>
        <v>191.67997870074549</v>
      </c>
      <c r="L314" s="53"/>
      <c r="M314" s="98">
        <f>+K314/$I$69</f>
        <v>27.382854100106499</v>
      </c>
      <c r="N314" s="53"/>
      <c r="O314" s="201">
        <f t="shared" si="2"/>
        <v>0.55622044728434505</v>
      </c>
      <c r="P314" s="53"/>
      <c r="Q314" s="203">
        <f t="shared" si="3"/>
        <v>1.9097721804371504E-3</v>
      </c>
      <c r="R314" s="227"/>
    </row>
    <row r="315" spans="1:18" ht="22.8">
      <c r="A315" s="265"/>
      <c r="B315" s="38"/>
      <c r="C315" s="38"/>
      <c r="D315" s="29"/>
      <c r="E315" s="29"/>
      <c r="F315" s="29"/>
      <c r="G315" s="29"/>
      <c r="H315" s="44"/>
      <c r="I315" s="890"/>
      <c r="J315" s="30"/>
      <c r="K315" s="98"/>
      <c r="L315" s="53"/>
      <c r="M315" s="98"/>
      <c r="N315" s="53"/>
      <c r="O315" s="201"/>
      <c r="P315" s="53"/>
      <c r="Q315" s="203"/>
      <c r="R315" s="227"/>
    </row>
    <row r="316" spans="1:18" ht="22.8">
      <c r="A316" s="265" t="s">
        <v>341</v>
      </c>
      <c r="B316" s="209" t="s">
        <v>133</v>
      </c>
      <c r="C316" s="38"/>
      <c r="D316" s="29"/>
      <c r="E316" s="29"/>
      <c r="F316" s="29"/>
      <c r="G316" s="29"/>
      <c r="H316" s="44"/>
      <c r="I316" s="895">
        <f>SUM(I312:I314)</f>
        <v>18047174.837661497</v>
      </c>
      <c r="J316" s="30"/>
      <c r="K316" s="212">
        <f>SUM(K312:K314)</f>
        <v>5653.8768288413212</v>
      </c>
      <c r="L316" s="53"/>
      <c r="M316" s="212">
        <f>SUM(M312:M314)</f>
        <v>807.69668983447445</v>
      </c>
      <c r="N316" s="53"/>
      <c r="O316" s="201">
        <f t="shared" si="2"/>
        <v>16.406522579692272</v>
      </c>
      <c r="P316" s="53"/>
      <c r="Q316" s="203">
        <f t="shared" si="3"/>
        <v>5.6331478918811968E-2</v>
      </c>
      <c r="R316" s="231"/>
    </row>
    <row r="317" spans="1:18" ht="22.8">
      <c r="A317" s="266"/>
      <c r="B317" s="38"/>
      <c r="C317" s="29"/>
      <c r="D317" s="29"/>
      <c r="E317" s="29"/>
      <c r="F317" s="29"/>
      <c r="G317" s="29"/>
      <c r="H317" s="44"/>
      <c r="I317" s="891"/>
      <c r="J317" s="30"/>
      <c r="K317" s="36"/>
      <c r="L317" s="53"/>
      <c r="M317" s="53"/>
      <c r="N317" s="53"/>
      <c r="O317" s="201"/>
      <c r="P317" s="53"/>
      <c r="Q317" s="203"/>
      <c r="R317" s="232"/>
    </row>
    <row r="318" spans="1:18" ht="22.8">
      <c r="A318" s="265" t="s">
        <v>523</v>
      </c>
      <c r="B318" s="211" t="s">
        <v>189</v>
      </c>
      <c r="C318" s="29"/>
      <c r="D318" s="29"/>
      <c r="E318" s="29"/>
      <c r="F318" s="29"/>
      <c r="G318" s="29"/>
      <c r="H318" s="44"/>
      <c r="I318" s="895">
        <f>+((K133*(I242*(1-I246))/I244))*(1+I248)</f>
        <v>0</v>
      </c>
      <c r="J318" s="196"/>
      <c r="K318" s="215">
        <f>+I318/$K$105</f>
        <v>0</v>
      </c>
      <c r="L318" s="216"/>
      <c r="M318" s="215">
        <f>+K318/$I$69</f>
        <v>0</v>
      </c>
      <c r="N318" s="216"/>
      <c r="O318" s="201">
        <f t="shared" si="2"/>
        <v>0</v>
      </c>
      <c r="P318" s="53"/>
      <c r="Q318" s="203">
        <f t="shared" si="3"/>
        <v>0</v>
      </c>
      <c r="R318" s="233"/>
    </row>
    <row r="319" spans="1:18" ht="22.8">
      <c r="A319" s="265"/>
      <c r="B319" s="211"/>
      <c r="C319" s="29"/>
      <c r="D319" s="29"/>
      <c r="E319" s="29"/>
      <c r="F319" s="29"/>
      <c r="G319" s="29"/>
      <c r="H319" s="44"/>
      <c r="I319" s="891"/>
      <c r="J319" s="30"/>
      <c r="K319" s="30"/>
      <c r="L319" s="53"/>
      <c r="M319" s="30"/>
      <c r="N319" s="53"/>
      <c r="O319" s="201"/>
      <c r="P319" s="53"/>
      <c r="Q319" s="203"/>
      <c r="R319" s="234"/>
    </row>
    <row r="320" spans="1:18" ht="22.8">
      <c r="A320" s="265" t="s">
        <v>524</v>
      </c>
      <c r="B320" s="211" t="s">
        <v>313</v>
      </c>
      <c r="C320" s="29"/>
      <c r="D320" s="29"/>
      <c r="E320" s="29"/>
      <c r="F320" s="29"/>
      <c r="G320" s="29"/>
      <c r="H320" s="44"/>
      <c r="I320" s="895">
        <f>+((K141*(I252*(1-I256))/I254))*(1+I258)</f>
        <v>1861800</v>
      </c>
      <c r="J320" s="30"/>
      <c r="K320" s="215">
        <f>+I320/$K$105</f>
        <v>583.27067669172936</v>
      </c>
      <c r="L320" s="53"/>
      <c r="M320" s="215">
        <f>+K320/$I$69</f>
        <v>83.324382384532768</v>
      </c>
      <c r="N320" s="53"/>
      <c r="O320" s="201">
        <f t="shared" si="2"/>
        <v>1.6925454545454546</v>
      </c>
      <c r="P320" s="53"/>
      <c r="Q320" s="203">
        <f t="shared" si="3"/>
        <v>5.8113221816957763E-3</v>
      </c>
      <c r="R320" s="233"/>
    </row>
    <row r="321" spans="1:18" ht="22.8">
      <c r="A321" s="46"/>
      <c r="B321" s="29"/>
      <c r="C321" s="29"/>
      <c r="D321" s="29"/>
      <c r="E321" s="29"/>
      <c r="F321" s="29"/>
      <c r="G321" s="29"/>
      <c r="H321" s="44"/>
      <c r="I321" s="891"/>
      <c r="J321" s="30"/>
      <c r="K321" s="53"/>
      <c r="L321" s="53"/>
      <c r="M321" s="53"/>
      <c r="N321" s="53"/>
      <c r="O321" s="53"/>
      <c r="P321" s="53"/>
      <c r="Q321" s="54"/>
      <c r="R321" s="232"/>
    </row>
    <row r="322" spans="1:18" ht="22.8">
      <c r="A322" s="265" t="s">
        <v>538</v>
      </c>
      <c r="B322" s="29"/>
      <c r="C322" s="45" t="s">
        <v>137</v>
      </c>
      <c r="D322" s="29"/>
      <c r="E322" s="29"/>
      <c r="F322" s="29"/>
      <c r="G322" s="29"/>
      <c r="H322" s="44"/>
      <c r="I322" s="894">
        <f>+I316+I318+I320</f>
        <v>19908974.837661497</v>
      </c>
      <c r="J322" s="30"/>
      <c r="K322" s="206">
        <f>+K316+K318+K320</f>
        <v>6237.1475055330502</v>
      </c>
      <c r="L322" s="53"/>
      <c r="M322" s="206">
        <f>+M316+M318+M320</f>
        <v>891.02107221900724</v>
      </c>
      <c r="N322" s="53"/>
      <c r="O322" s="207">
        <f>+O316+O318+O320</f>
        <v>18.099068034237725</v>
      </c>
      <c r="P322" s="53"/>
      <c r="Q322" s="208">
        <f>+Q316+Q318+Q320</f>
        <v>6.2142801100507745E-2</v>
      </c>
      <c r="R322" s="230"/>
    </row>
    <row r="323" spans="1:18" ht="17.399999999999999">
      <c r="A323" s="274"/>
      <c r="B323" s="55"/>
      <c r="C323" s="56"/>
      <c r="D323" s="56"/>
      <c r="E323" s="56"/>
      <c r="F323" s="56"/>
      <c r="G323" s="56"/>
      <c r="H323" s="461"/>
      <c r="I323" s="891"/>
      <c r="J323" s="30"/>
      <c r="K323" s="56"/>
      <c r="L323" s="56"/>
      <c r="M323" s="56"/>
      <c r="N323" s="56"/>
      <c r="O323" s="57"/>
      <c r="P323" s="57"/>
      <c r="Q323" s="56"/>
      <c r="R323" s="235"/>
    </row>
    <row r="324" spans="1:18" ht="24.6">
      <c r="A324" s="275" t="s">
        <v>342</v>
      </c>
      <c r="B324" s="55"/>
      <c r="C324" s="56"/>
      <c r="D324" s="56"/>
      <c r="E324" s="56"/>
      <c r="F324" s="56"/>
      <c r="G324" s="56"/>
      <c r="H324" s="461"/>
      <c r="I324" s="896">
        <f>+I322+I305+I297+I286</f>
        <v>45326354.240893394</v>
      </c>
      <c r="J324" s="30"/>
      <c r="K324" s="221">
        <f>+K322+K305+K297+K286</f>
        <v>14199.985664440286</v>
      </c>
      <c r="L324" s="56"/>
      <c r="M324" s="221">
        <f>+M322+M305+M297+M286</f>
        <v>2028.5693806343265</v>
      </c>
      <c r="N324" s="56"/>
      <c r="O324" s="222">
        <f>+O322+O305+O297+O286</f>
        <v>41.205776582630357</v>
      </c>
      <c r="P324" s="57"/>
      <c r="Q324" s="223">
        <f>+Q322+Q305+Q297+Q286</f>
        <v>0.14147923934660231</v>
      </c>
      <c r="R324" s="236"/>
    </row>
    <row r="325" spans="1:18" ht="25.2" thickBot="1">
      <c r="A325" s="275"/>
      <c r="B325" s="55"/>
      <c r="C325" s="56"/>
      <c r="D325" s="56"/>
      <c r="E325" s="56"/>
      <c r="F325" s="56"/>
      <c r="G325" s="56"/>
      <c r="H325" s="461"/>
      <c r="I325" s="896"/>
      <c r="J325" s="30"/>
      <c r="K325" s="221"/>
      <c r="L325" s="56"/>
      <c r="M325" s="221"/>
      <c r="N325" s="56"/>
      <c r="O325" s="222"/>
      <c r="P325" s="57"/>
      <c r="Q325" s="223"/>
      <c r="R325" s="236"/>
    </row>
    <row r="326" spans="1:18" ht="25.8" thickTop="1" thickBot="1">
      <c r="A326" s="428" t="s">
        <v>914</v>
      </c>
      <c r="B326" s="429"/>
      <c r="C326" s="430"/>
      <c r="D326" s="430"/>
      <c r="E326" s="430"/>
      <c r="F326" s="430"/>
      <c r="G326" s="430"/>
      <c r="H326" s="430"/>
      <c r="I326" s="938">
        <f>+I286</f>
        <v>14603034.593303893</v>
      </c>
      <c r="J326" s="448"/>
      <c r="K326" s="417">
        <f>+I326/$K$105</f>
        <v>4574.8855242180116</v>
      </c>
      <c r="L326" s="440"/>
      <c r="M326" s="417">
        <f>+K326/$I$69</f>
        <v>653.55507488828732</v>
      </c>
      <c r="N326" s="440"/>
      <c r="O326" s="419">
        <f>+I326/$I$45</f>
        <v>13.27548599391263</v>
      </c>
      <c r="P326" s="447"/>
      <c r="Q326" s="420">
        <f>+I326/($I$45*$I$47)</f>
        <v>4.5581125175710425E-2</v>
      </c>
      <c r="R326" s="443"/>
    </row>
    <row r="327" spans="1:18" ht="25.8" thickTop="1" thickBot="1">
      <c r="A327" s="291"/>
      <c r="B327" s="253"/>
      <c r="C327" s="253"/>
      <c r="D327" s="253"/>
      <c r="E327" s="253"/>
      <c r="F327" s="253"/>
      <c r="G327" s="253"/>
      <c r="H327" s="253"/>
      <c r="I327" s="939"/>
      <c r="J327" s="973"/>
      <c r="K327" s="974"/>
      <c r="L327" s="975"/>
      <c r="M327" s="974"/>
      <c r="N327" s="975"/>
      <c r="O327" s="976"/>
      <c r="P327" s="977"/>
      <c r="Q327" s="978"/>
      <c r="R327" s="979"/>
    </row>
    <row r="328" spans="1:18" ht="25.8" thickTop="1" thickBot="1">
      <c r="A328" s="732" t="s">
        <v>915</v>
      </c>
      <c r="B328" s="733"/>
      <c r="C328" s="734"/>
      <c r="D328" s="734"/>
      <c r="E328" s="734"/>
      <c r="F328" s="734"/>
      <c r="G328" s="734"/>
      <c r="H328" s="734"/>
      <c r="I328" s="940">
        <f>+I326+I318+I320</f>
        <v>16464834.593303893</v>
      </c>
      <c r="J328" s="735"/>
      <c r="K328" s="736">
        <f>+I328/$K$105</f>
        <v>5158.1562009097406</v>
      </c>
      <c r="L328" s="737"/>
      <c r="M328" s="736">
        <f>+K328/$I$69</f>
        <v>736.8794572728201</v>
      </c>
      <c r="N328" s="734"/>
      <c r="O328" s="738">
        <f>+I328/$I$45</f>
        <v>14.968031448458085</v>
      </c>
      <c r="P328" s="735"/>
      <c r="Q328" s="739">
        <f>+I328/($I$45*$I$47)</f>
        <v>5.1392447357406203E-2</v>
      </c>
      <c r="R328" s="969"/>
    </row>
    <row r="329" spans="1:18" ht="25.8" thickTop="1" thickBot="1">
      <c r="A329" s="712"/>
      <c r="B329" s="713"/>
      <c r="C329" s="714"/>
      <c r="D329" s="714"/>
      <c r="E329" s="714"/>
      <c r="F329" s="714"/>
      <c r="G329" s="714"/>
      <c r="H329" s="714"/>
      <c r="I329" s="939"/>
      <c r="J329" s="715"/>
      <c r="K329" s="444"/>
      <c r="L329" s="714"/>
      <c r="M329" s="444"/>
      <c r="N329" s="714"/>
      <c r="O329" s="716"/>
      <c r="P329" s="715"/>
      <c r="Q329" s="717"/>
      <c r="R329" s="970"/>
    </row>
    <row r="330" spans="1:18" ht="25.8" thickTop="1" thickBot="1">
      <c r="A330" s="742" t="s">
        <v>916</v>
      </c>
      <c r="B330" s="743"/>
      <c r="C330" s="744"/>
      <c r="D330" s="744"/>
      <c r="E330" s="744"/>
      <c r="F330" s="744"/>
      <c r="G330" s="744"/>
      <c r="H330" s="744"/>
      <c r="I330" s="941">
        <f>+I328+I316+I297+I305</f>
        <v>45326354.240893401</v>
      </c>
      <c r="J330" s="745"/>
      <c r="K330" s="746">
        <f>+I330/$K$105</f>
        <v>14199.985664440288</v>
      </c>
      <c r="L330" s="747"/>
      <c r="M330" s="746">
        <f>+K330/$I$69</f>
        <v>2028.5693806343268</v>
      </c>
      <c r="N330" s="744"/>
      <c r="O330" s="748">
        <f>+I330/$I$45</f>
        <v>41.205776582630364</v>
      </c>
      <c r="P330" s="745"/>
      <c r="Q330" s="749">
        <f>+I330/($I$45*$I$47)</f>
        <v>0.14147923934660234</v>
      </c>
      <c r="R330" s="971"/>
    </row>
    <row r="331" spans="1:18" ht="25.2" thickTop="1">
      <c r="A331" s="712"/>
      <c r="B331" s="713"/>
      <c r="C331" s="714"/>
      <c r="D331" s="714"/>
      <c r="E331" s="714"/>
      <c r="F331" s="714"/>
      <c r="G331" s="714"/>
      <c r="H331" s="972"/>
      <c r="I331" s="939"/>
      <c r="J331" s="973"/>
      <c r="K331" s="974"/>
      <c r="L331" s="975"/>
      <c r="M331" s="974"/>
      <c r="N331" s="975"/>
      <c r="O331" s="976"/>
      <c r="P331" s="977"/>
      <c r="Q331" s="978"/>
      <c r="R331" s="980"/>
    </row>
    <row r="332" spans="1:18" ht="15.6" thickBot="1">
      <c r="A332" s="291"/>
      <c r="B332" s="253"/>
      <c r="C332" s="253"/>
      <c r="D332" s="253"/>
      <c r="E332" s="253"/>
      <c r="F332" s="253"/>
      <c r="G332" s="253"/>
      <c r="H332" s="449"/>
      <c r="I332" s="988"/>
      <c r="J332" s="253"/>
      <c r="K332" s="253"/>
      <c r="L332" s="253"/>
      <c r="M332" s="253"/>
      <c r="N332" s="253"/>
      <c r="O332" s="253"/>
      <c r="P332" s="253"/>
      <c r="Q332" s="296"/>
      <c r="R332" s="297"/>
    </row>
    <row r="333" spans="1:18" ht="23.4" thickTop="1">
      <c r="A333" s="303" t="s">
        <v>211</v>
      </c>
      <c r="B333" s="304"/>
      <c r="C333" s="304"/>
      <c r="D333" s="304"/>
      <c r="E333" s="304"/>
      <c r="F333" s="304"/>
      <c r="G333" s="304"/>
      <c r="H333" s="450"/>
      <c r="I333" s="989"/>
      <c r="J333" s="306"/>
      <c r="K333" s="307"/>
      <c r="L333" s="307"/>
      <c r="M333" s="307"/>
      <c r="N333" s="307"/>
      <c r="O333" s="307"/>
      <c r="P333" s="307"/>
      <c r="Q333" s="307"/>
      <c r="R333" s="308"/>
    </row>
    <row r="334" spans="1:18">
      <c r="A334" s="276"/>
      <c r="B334" s="30"/>
      <c r="C334" s="30"/>
      <c r="D334" s="30"/>
      <c r="E334" s="30"/>
      <c r="F334" s="30"/>
      <c r="G334" s="30"/>
      <c r="H334" s="462"/>
      <c r="I334" s="891"/>
      <c r="J334" s="30"/>
      <c r="K334" s="30"/>
      <c r="L334" s="30"/>
      <c r="M334" s="30"/>
      <c r="N334" s="30"/>
      <c r="O334" s="30"/>
      <c r="P334" s="30"/>
      <c r="Q334" s="28"/>
      <c r="R334" s="225"/>
    </row>
    <row r="335" spans="1:18" ht="25.2">
      <c r="A335" s="369" t="str">
        <f>+$F$6</f>
        <v>COSTING SUBJECT:</v>
      </c>
      <c r="B335" s="370"/>
      <c r="C335" s="371"/>
      <c r="D335" s="29"/>
      <c r="E335" s="97" t="str">
        <f>+$I$6</f>
        <v xml:space="preserve">Line:            </v>
      </c>
      <c r="F335" s="29">
        <f>+J6</f>
        <v>1</v>
      </c>
      <c r="G335" s="29"/>
      <c r="H335" s="44"/>
      <c r="I335" s="990"/>
      <c r="J335" s="30"/>
      <c r="K335" s="30"/>
      <c r="L335" s="30"/>
      <c r="M335" s="30"/>
      <c r="N335" s="30"/>
      <c r="O335" s="30"/>
      <c r="P335" s="30"/>
      <c r="Q335" s="28"/>
      <c r="R335" s="225"/>
    </row>
    <row r="336" spans="1:18" ht="28.2">
      <c r="A336" s="369"/>
      <c r="B336" s="370"/>
      <c r="C336" s="371"/>
      <c r="D336" s="29"/>
      <c r="E336" s="1481" t="str">
        <f>+I8</f>
        <v>Service:</v>
      </c>
      <c r="F336" s="1481" t="str">
        <f>+J8</f>
        <v xml:space="preserve">Fast Passenger Train Service, </v>
      </c>
      <c r="G336" s="1481"/>
      <c r="H336" s="1482"/>
      <c r="I336" s="991"/>
      <c r="J336" s="30"/>
      <c r="K336" s="30"/>
      <c r="L336" s="30"/>
      <c r="M336" s="30"/>
      <c r="N336" s="30"/>
      <c r="O336" s="30"/>
      <c r="P336" s="30"/>
      <c r="Q336" s="28"/>
      <c r="R336" s="225"/>
    </row>
    <row r="337" spans="1:18" ht="28.2">
      <c r="A337" s="369"/>
      <c r="B337" s="370"/>
      <c r="C337" s="371"/>
      <c r="D337" s="29"/>
      <c r="E337" s="374"/>
      <c r="F337" s="1483" t="str">
        <f>+J9</f>
        <v>Station "A" to "Station "E"</v>
      </c>
      <c r="G337" s="1483"/>
      <c r="H337" s="1484"/>
      <c r="I337" s="991"/>
      <c r="J337" s="30"/>
      <c r="K337" s="30"/>
      <c r="L337" s="30"/>
      <c r="M337" s="30"/>
      <c r="N337" s="30"/>
      <c r="O337" s="30"/>
      <c r="P337" s="30"/>
      <c r="Q337" s="28"/>
      <c r="R337" s="225"/>
    </row>
    <row r="338" spans="1:18" ht="25.2">
      <c r="A338" s="369" t="str">
        <f>+$F$10</f>
        <v>COSTING PREPARED BY:</v>
      </c>
      <c r="B338" s="370"/>
      <c r="C338" s="371"/>
      <c r="D338" s="29"/>
      <c r="E338" s="373" t="str">
        <f>+$I$10</f>
        <v>P.J.Hodgkinson</v>
      </c>
      <c r="F338" s="29"/>
      <c r="G338" s="29"/>
      <c r="H338" s="44"/>
      <c r="I338" s="990"/>
      <c r="J338" s="30"/>
      <c r="K338" s="30"/>
      <c r="L338" s="30"/>
      <c r="M338" s="30"/>
      <c r="N338" s="30"/>
      <c r="O338" s="30"/>
      <c r="P338" s="30"/>
      <c r="Q338" s="28"/>
      <c r="R338" s="225"/>
    </row>
    <row r="339" spans="1:18" ht="25.2">
      <c r="A339" s="369" t="str">
        <f>+$F$12</f>
        <v>DATE:</v>
      </c>
      <c r="B339" s="370"/>
      <c r="C339" s="371"/>
      <c r="D339" s="29"/>
      <c r="E339" s="376">
        <f ca="1">+$I$12</f>
        <v>42149</v>
      </c>
      <c r="F339" s="29"/>
      <c r="G339" s="29"/>
      <c r="H339" s="44"/>
      <c r="I339" s="990"/>
      <c r="J339" s="30"/>
      <c r="K339" s="30"/>
      <c r="L339" s="30"/>
      <c r="M339" s="30"/>
      <c r="N339" s="30"/>
      <c r="O339" s="30"/>
      <c r="P339" s="30"/>
      <c r="Q339" s="28"/>
      <c r="R339" s="225"/>
    </row>
    <row r="340" spans="1:18">
      <c r="A340" s="276"/>
      <c r="B340" s="30"/>
      <c r="C340" s="30"/>
      <c r="D340" s="30"/>
      <c r="E340" s="30"/>
      <c r="F340" s="30"/>
      <c r="G340" s="30"/>
      <c r="H340" s="462"/>
      <c r="I340" s="891"/>
      <c r="J340" s="30"/>
      <c r="K340" s="30"/>
      <c r="L340" s="30"/>
      <c r="M340" s="30"/>
      <c r="N340" s="30"/>
      <c r="O340" s="30"/>
      <c r="P340" s="30"/>
      <c r="Q340" s="28"/>
      <c r="R340" s="225"/>
    </row>
    <row r="341" spans="1:18">
      <c r="A341" s="276"/>
      <c r="B341" s="30"/>
      <c r="C341" s="30"/>
      <c r="D341" s="30"/>
      <c r="E341" s="30"/>
      <c r="F341" s="30"/>
      <c r="G341" s="30"/>
      <c r="H341" s="462"/>
      <c r="I341" s="891"/>
      <c r="J341" s="30"/>
      <c r="K341" s="30"/>
      <c r="L341" s="30"/>
      <c r="M341" s="30"/>
      <c r="N341" s="30"/>
      <c r="O341" s="30"/>
      <c r="P341" s="30"/>
      <c r="Q341" s="28"/>
      <c r="R341" s="225"/>
    </row>
    <row r="342" spans="1:18" ht="24.6">
      <c r="A342" s="293" t="s">
        <v>153</v>
      </c>
      <c r="B342" s="294" t="s">
        <v>154</v>
      </c>
      <c r="C342" s="294"/>
      <c r="D342" s="294"/>
      <c r="E342" s="294"/>
      <c r="F342" s="295"/>
      <c r="G342" s="29"/>
      <c r="H342" s="44"/>
      <c r="I342" s="892"/>
      <c r="J342" s="29"/>
      <c r="K342" s="29"/>
      <c r="L342" s="29"/>
      <c r="M342" s="29"/>
      <c r="N342" s="29"/>
      <c r="O342" s="29"/>
      <c r="P342" s="29"/>
      <c r="Q342" s="29"/>
      <c r="R342" s="225"/>
    </row>
    <row r="343" spans="1:18" ht="22.8">
      <c r="A343" s="46"/>
      <c r="B343" s="29"/>
      <c r="C343" s="29"/>
      <c r="D343" s="29"/>
      <c r="E343" s="29"/>
      <c r="F343" s="29"/>
      <c r="G343" s="29"/>
      <c r="H343" s="44"/>
      <c r="I343" s="944" t="s">
        <v>107</v>
      </c>
      <c r="J343" s="30"/>
      <c r="K343" s="51" t="s">
        <v>105</v>
      </c>
      <c r="L343" s="30"/>
      <c r="M343" s="52" t="s">
        <v>309</v>
      </c>
      <c r="N343" s="52"/>
      <c r="O343" s="52" t="s">
        <v>311</v>
      </c>
      <c r="P343" s="30"/>
      <c r="Q343" s="52" t="s">
        <v>312</v>
      </c>
      <c r="R343" s="226"/>
    </row>
    <row r="344" spans="1:18" ht="22.8">
      <c r="A344" s="272" t="s">
        <v>155</v>
      </c>
      <c r="B344" s="195" t="s">
        <v>103</v>
      </c>
      <c r="C344" s="29"/>
      <c r="D344" s="29"/>
      <c r="E344" s="29"/>
      <c r="F344" s="29"/>
      <c r="G344" s="29"/>
      <c r="H344" s="44"/>
      <c r="I344" s="899"/>
      <c r="J344" s="30"/>
      <c r="K344" s="52" t="s">
        <v>106</v>
      </c>
      <c r="L344" s="29"/>
      <c r="M344" s="52"/>
      <c r="N344" s="29"/>
      <c r="O344" s="52" t="s">
        <v>106</v>
      </c>
      <c r="P344" s="35"/>
      <c r="Q344" s="52"/>
      <c r="R344" s="226"/>
    </row>
    <row r="345" spans="1:18" ht="22.8">
      <c r="A345" s="46"/>
      <c r="B345" s="29"/>
      <c r="C345" s="29"/>
      <c r="D345" s="29"/>
      <c r="E345" s="29"/>
      <c r="F345" s="29"/>
      <c r="G345" s="29"/>
      <c r="H345" s="44"/>
      <c r="I345" s="899"/>
      <c r="J345" s="30"/>
      <c r="K345" s="52"/>
      <c r="L345" s="29"/>
      <c r="M345" s="52"/>
      <c r="N345" s="29"/>
      <c r="O345" s="52"/>
      <c r="P345" s="35"/>
      <c r="Q345" s="52"/>
      <c r="R345" s="226"/>
    </row>
    <row r="346" spans="1:18" ht="22.8">
      <c r="A346" s="265" t="s">
        <v>540</v>
      </c>
      <c r="B346" s="38" t="s">
        <v>493</v>
      </c>
      <c r="C346" s="29"/>
      <c r="D346" s="29"/>
      <c r="E346" s="29"/>
      <c r="F346" s="29"/>
      <c r="G346" s="29"/>
      <c r="H346" s="44"/>
      <c r="I346" s="890">
        <f>+I123*M187</f>
        <v>3480373.8317757007</v>
      </c>
      <c r="J346" s="30"/>
      <c r="K346" s="98">
        <f>+I346/$K$105</f>
        <v>1090.3426791277259</v>
      </c>
      <c r="L346" s="53"/>
      <c r="M346" s="98">
        <f>+K346/$I$69</f>
        <v>155.76323987538942</v>
      </c>
      <c r="N346" s="53"/>
      <c r="O346" s="201">
        <f t="shared" ref="O346:O354" si="4">+I346/$I$45</f>
        <v>3.1639762107051825</v>
      </c>
      <c r="P346" s="53"/>
      <c r="Q346" s="203">
        <f t="shared" ref="Q346:Q354" si="5">+I346/($I$45*$I$47)</f>
        <v>1.0863451310125498E-2</v>
      </c>
      <c r="R346" s="227"/>
    </row>
    <row r="347" spans="1:18" ht="22.8">
      <c r="A347" s="46"/>
      <c r="B347" s="29"/>
      <c r="C347" s="29"/>
      <c r="D347" s="29"/>
      <c r="E347" s="29"/>
      <c r="F347" s="29"/>
      <c r="G347" s="29"/>
      <c r="H347" s="44"/>
      <c r="I347" s="891"/>
      <c r="J347" s="30"/>
      <c r="K347" s="36"/>
      <c r="L347" s="53"/>
      <c r="M347" s="53"/>
      <c r="N347" s="53"/>
      <c r="O347" s="201"/>
      <c r="P347" s="53"/>
      <c r="Q347" s="203"/>
      <c r="R347" s="228"/>
    </row>
    <row r="348" spans="1:18" ht="22.8">
      <c r="A348" s="265" t="s">
        <v>128</v>
      </c>
      <c r="B348" s="86" t="s">
        <v>525</v>
      </c>
      <c r="C348" s="29"/>
      <c r="D348" s="29"/>
      <c r="E348" s="29"/>
      <c r="F348" s="29"/>
      <c r="G348" s="29"/>
      <c r="H348" s="44"/>
      <c r="I348" s="890">
        <f>+I157*M189</f>
        <v>3992591.1079232576</v>
      </c>
      <c r="J348" s="30"/>
      <c r="K348" s="98">
        <f>+I348/$K$105</f>
        <v>1250.8117506025244</v>
      </c>
      <c r="L348" s="53"/>
      <c r="M348" s="98">
        <f>+K348/$I$69</f>
        <v>178.68739294321776</v>
      </c>
      <c r="N348" s="53"/>
      <c r="O348" s="201">
        <f t="shared" si="4"/>
        <v>3.6296282799302344</v>
      </c>
      <c r="P348" s="53"/>
      <c r="Q348" s="203">
        <f t="shared" si="5"/>
        <v>1.2462258710879656E-2</v>
      </c>
      <c r="R348" s="227"/>
    </row>
    <row r="349" spans="1:18" ht="22.8">
      <c r="A349" s="46"/>
      <c r="B349" s="29"/>
      <c r="C349" s="29"/>
      <c r="D349" s="29"/>
      <c r="E349" s="29"/>
      <c r="F349" s="29"/>
      <c r="G349" s="29"/>
      <c r="H349" s="44"/>
      <c r="I349" s="891"/>
      <c r="J349" s="30"/>
      <c r="K349" s="36"/>
      <c r="L349" s="53"/>
      <c r="M349" s="53"/>
      <c r="N349" s="53"/>
      <c r="O349" s="201"/>
      <c r="P349" s="53"/>
      <c r="Q349" s="203"/>
      <c r="R349" s="228"/>
    </row>
    <row r="350" spans="1:18" ht="22.8">
      <c r="A350" s="265" t="s">
        <v>132</v>
      </c>
      <c r="B350" s="38" t="s">
        <v>496</v>
      </c>
      <c r="C350" s="29"/>
      <c r="D350" s="29"/>
      <c r="E350" s="29"/>
      <c r="F350" s="29"/>
      <c r="G350" s="29"/>
      <c r="H350" s="44"/>
      <c r="I350" s="890">
        <f>+(I145*1000)*M193</f>
        <v>0</v>
      </c>
      <c r="J350" s="30"/>
      <c r="K350" s="98">
        <f>+I350/$K$105</f>
        <v>0</v>
      </c>
      <c r="L350" s="53"/>
      <c r="M350" s="98">
        <f>+K350/$I$69</f>
        <v>0</v>
      </c>
      <c r="N350" s="53"/>
      <c r="O350" s="201">
        <f t="shared" si="4"/>
        <v>0</v>
      </c>
      <c r="P350" s="53"/>
      <c r="Q350" s="203">
        <f t="shared" si="5"/>
        <v>0</v>
      </c>
      <c r="R350" s="227"/>
    </row>
    <row r="351" spans="1:18" ht="22.8">
      <c r="A351" s="46"/>
      <c r="B351" s="29"/>
      <c r="C351" s="29"/>
      <c r="D351" s="29"/>
      <c r="E351" s="29"/>
      <c r="F351" s="29"/>
      <c r="G351" s="29"/>
      <c r="H351" s="44"/>
      <c r="I351" s="891"/>
      <c r="J351" s="30"/>
      <c r="K351" s="53"/>
      <c r="L351" s="53"/>
      <c r="M351" s="53"/>
      <c r="N351" s="53"/>
      <c r="O351" s="201"/>
      <c r="P351" s="53"/>
      <c r="Q351" s="203"/>
      <c r="R351" s="228"/>
    </row>
    <row r="352" spans="1:18" ht="22.8">
      <c r="A352" s="265" t="s">
        <v>134</v>
      </c>
      <c r="B352" s="38" t="s">
        <v>314</v>
      </c>
      <c r="C352" s="29"/>
      <c r="D352" s="29"/>
      <c r="E352" s="29"/>
      <c r="F352" s="29"/>
      <c r="G352" s="29"/>
      <c r="H352" s="44"/>
      <c r="I352" s="890">
        <f>+(I147*1000)*M195</f>
        <v>4604776.6464000009</v>
      </c>
      <c r="J352" s="30"/>
      <c r="K352" s="98">
        <f>+I352/$K$105</f>
        <v>1442.5992000000003</v>
      </c>
      <c r="L352" s="53"/>
      <c r="M352" s="98">
        <f>+K352/$I$69</f>
        <v>206.08560000000006</v>
      </c>
      <c r="N352" s="53"/>
      <c r="O352" s="201">
        <f t="shared" si="4"/>
        <v>4.1861605876363646</v>
      </c>
      <c r="P352" s="53"/>
      <c r="Q352" s="203">
        <f t="shared" si="5"/>
        <v>1.4373101658061561E-2</v>
      </c>
      <c r="R352" s="227"/>
    </row>
    <row r="353" spans="1:18" ht="22.8">
      <c r="A353" s="39"/>
      <c r="B353" s="29"/>
      <c r="C353" s="29"/>
      <c r="D353" s="29"/>
      <c r="E353" s="29"/>
      <c r="F353" s="29"/>
      <c r="G353" s="29"/>
      <c r="H353" s="44"/>
      <c r="I353" s="891"/>
      <c r="J353" s="30"/>
      <c r="K353" s="53"/>
      <c r="L353" s="53"/>
      <c r="M353" s="53"/>
      <c r="N353" s="53"/>
      <c r="O353" s="201"/>
      <c r="P353" s="53"/>
      <c r="Q353" s="203"/>
      <c r="R353" s="228"/>
    </row>
    <row r="354" spans="1:18" ht="22.8">
      <c r="A354" s="265" t="s">
        <v>135</v>
      </c>
      <c r="B354" s="38" t="s">
        <v>500</v>
      </c>
      <c r="C354" s="29"/>
      <c r="D354" s="29"/>
      <c r="E354" s="29"/>
      <c r="F354" s="29"/>
      <c r="G354" s="29"/>
      <c r="H354" s="44"/>
      <c r="I354" s="890">
        <f>+(I151*1000)*M197</f>
        <v>206992.36946513891</v>
      </c>
      <c r="J354" s="30"/>
      <c r="K354" s="98">
        <f>+I354/$K$105</f>
        <v>64.847233541710182</v>
      </c>
      <c r="L354" s="53"/>
      <c r="M354" s="98">
        <f>+K354/$I$69</f>
        <v>9.2638905059585976</v>
      </c>
      <c r="N354" s="53"/>
      <c r="O354" s="201">
        <f t="shared" si="4"/>
        <v>0.18817488133194446</v>
      </c>
      <c r="P354" s="53"/>
      <c r="Q354" s="203">
        <f t="shared" si="5"/>
        <v>6.4609482657349297E-4</v>
      </c>
      <c r="R354" s="227"/>
    </row>
    <row r="355" spans="1:18" ht="22.8">
      <c r="A355" s="266"/>
      <c r="B355" s="38"/>
      <c r="C355" s="29"/>
      <c r="D355" s="29"/>
      <c r="E355" s="29"/>
      <c r="F355" s="29"/>
      <c r="G355" s="29"/>
      <c r="H355" s="44"/>
      <c r="I355" s="891"/>
      <c r="J355" s="30"/>
      <c r="K355" s="36"/>
      <c r="L355" s="53"/>
      <c r="M355" s="53"/>
      <c r="N355" s="53"/>
      <c r="O355" s="53"/>
      <c r="P355" s="53"/>
      <c r="Q355" s="90"/>
      <c r="R355" s="228"/>
    </row>
    <row r="356" spans="1:18" ht="22.8">
      <c r="A356" s="265" t="s">
        <v>136</v>
      </c>
      <c r="B356" s="38"/>
      <c r="C356" s="45" t="s">
        <v>110</v>
      </c>
      <c r="D356" s="29"/>
      <c r="E356" s="29"/>
      <c r="F356" s="29"/>
      <c r="G356" s="29"/>
      <c r="H356" s="44"/>
      <c r="I356" s="893">
        <f>SUM(I346:I355)</f>
        <v>12284733.955564098</v>
      </c>
      <c r="J356" s="30"/>
      <c r="K356" s="200">
        <f>SUM(K346:K355)</f>
        <v>3848.6008632719604</v>
      </c>
      <c r="L356" s="53"/>
      <c r="M356" s="200">
        <f>SUM(M346:M355)</f>
        <v>549.80012332456579</v>
      </c>
      <c r="N356" s="53"/>
      <c r="O356" s="202">
        <f>SUM(O346:O355)</f>
        <v>11.167939959603727</v>
      </c>
      <c r="P356" s="53"/>
      <c r="Q356" s="204">
        <f>SUM(Q346:Q355)</f>
        <v>3.8344906505640208E-2</v>
      </c>
      <c r="R356" s="229"/>
    </row>
    <row r="357" spans="1:18" ht="22.8">
      <c r="A357" s="266"/>
      <c r="B357" s="38"/>
      <c r="C357" s="29"/>
      <c r="D357" s="29"/>
      <c r="E357" s="29"/>
      <c r="F357" s="29"/>
      <c r="G357" s="29"/>
      <c r="H357" s="44"/>
      <c r="I357" s="891"/>
      <c r="J357" s="30"/>
      <c r="K357" s="36"/>
      <c r="L357" s="53"/>
      <c r="M357" s="53"/>
      <c r="N357" s="53"/>
      <c r="O357" s="53"/>
      <c r="P357" s="53"/>
      <c r="Q357" s="54"/>
      <c r="R357" s="228"/>
    </row>
    <row r="358" spans="1:18" ht="22.8">
      <c r="A358" s="273" t="s">
        <v>163</v>
      </c>
      <c r="B358" s="195" t="s">
        <v>124</v>
      </c>
      <c r="C358" s="29"/>
      <c r="D358" s="29"/>
      <c r="E358" s="29"/>
      <c r="F358" s="29"/>
      <c r="G358" s="29"/>
      <c r="H358" s="44"/>
      <c r="I358" s="891"/>
      <c r="J358" s="30"/>
      <c r="K358" s="36"/>
      <c r="L358" s="53"/>
      <c r="M358" s="53"/>
      <c r="N358" s="53"/>
      <c r="O358" s="53"/>
      <c r="P358" s="53"/>
      <c r="Q358" s="54"/>
      <c r="R358" s="228"/>
    </row>
    <row r="359" spans="1:18" ht="22.8">
      <c r="A359" s="266"/>
      <c r="B359" s="38"/>
      <c r="C359" s="29"/>
      <c r="D359" s="29"/>
      <c r="E359" s="29"/>
      <c r="F359" s="29"/>
      <c r="G359" s="29"/>
      <c r="H359" s="44"/>
      <c r="I359" s="891"/>
      <c r="J359" s="30"/>
      <c r="K359" s="36"/>
      <c r="L359" s="53"/>
      <c r="M359" s="53"/>
      <c r="N359" s="53"/>
      <c r="O359" s="53"/>
      <c r="P359" s="53"/>
      <c r="Q359" s="54"/>
      <c r="R359" s="228"/>
    </row>
    <row r="360" spans="1:18" ht="22.8">
      <c r="A360" s="265" t="s">
        <v>151</v>
      </c>
      <c r="B360" s="38" t="s">
        <v>511</v>
      </c>
      <c r="C360" s="29"/>
      <c r="D360" s="29"/>
      <c r="E360" s="29"/>
      <c r="F360" s="29"/>
      <c r="G360" s="29"/>
      <c r="H360" s="44"/>
      <c r="I360" s="890">
        <f>+M199*I30</f>
        <v>2073264</v>
      </c>
      <c r="J360" s="30"/>
      <c r="K360" s="98">
        <f>+I360/$K$105</f>
        <v>649.51879699248116</v>
      </c>
      <c r="L360" s="53"/>
      <c r="M360" s="98">
        <f>+K360/$I$69</f>
        <v>92.788399570354457</v>
      </c>
      <c r="N360" s="53"/>
      <c r="O360" s="201">
        <f>+I360/$I$45</f>
        <v>1.8847854545454545</v>
      </c>
      <c r="P360" s="53"/>
      <c r="Q360" s="203">
        <f>+I360/($I$45*$I$47)</f>
        <v>6.4713745148304389E-3</v>
      </c>
      <c r="R360" s="227"/>
    </row>
    <row r="361" spans="1:18" ht="22.8">
      <c r="A361" s="266"/>
      <c r="B361" s="38"/>
      <c r="C361" s="29"/>
      <c r="D361" s="29"/>
      <c r="E361" s="29"/>
      <c r="F361" s="29"/>
      <c r="G361" s="29"/>
      <c r="H361" s="44"/>
      <c r="I361" s="891"/>
      <c r="J361" s="30"/>
      <c r="K361" s="36"/>
      <c r="L361" s="53"/>
      <c r="M361" s="53"/>
      <c r="N361" s="53"/>
      <c r="O361" s="201"/>
      <c r="P361" s="53"/>
      <c r="Q361" s="203"/>
      <c r="R361" s="228"/>
    </row>
    <row r="362" spans="1:18" ht="22.8">
      <c r="A362" s="265" t="s">
        <v>152</v>
      </c>
      <c r="B362" s="38" t="s">
        <v>126</v>
      </c>
      <c r="C362" s="29"/>
      <c r="D362" s="29"/>
      <c r="E362" s="29"/>
      <c r="F362" s="29"/>
      <c r="G362" s="29"/>
      <c r="H362" s="44"/>
      <c r="I362" s="890">
        <f>+I30*M201</f>
        <v>1220067.2897196263</v>
      </c>
      <c r="J362" s="30"/>
      <c r="K362" s="98">
        <f>+I362/$K$105</f>
        <v>382.22659452369243</v>
      </c>
      <c r="L362" s="53"/>
      <c r="M362" s="98">
        <f>+K362/$I$69</f>
        <v>54.60379921767035</v>
      </c>
      <c r="N362" s="53"/>
      <c r="O362" s="201">
        <f>+I362/$I$45</f>
        <v>1.1091520815632967</v>
      </c>
      <c r="P362" s="53"/>
      <c r="Q362" s="203">
        <f>+I362/($I$45*$I$47)</f>
        <v>3.8082522848367768E-3</v>
      </c>
      <c r="R362" s="227"/>
    </row>
    <row r="363" spans="1:18" ht="22.8">
      <c r="A363" s="266"/>
      <c r="B363" s="38"/>
      <c r="C363" s="29"/>
      <c r="D363" s="29"/>
      <c r="E363" s="29"/>
      <c r="F363" s="29"/>
      <c r="G363" s="29"/>
      <c r="H363" s="44"/>
      <c r="I363" s="891"/>
      <c r="J363" s="30"/>
      <c r="K363" s="36"/>
      <c r="L363" s="53"/>
      <c r="M363" s="53"/>
      <c r="N363" s="53"/>
      <c r="O363" s="201"/>
      <c r="P363" s="53"/>
      <c r="Q363" s="203"/>
      <c r="R363" s="228"/>
    </row>
    <row r="364" spans="1:18" ht="22.8">
      <c r="A364" s="265" t="s">
        <v>181</v>
      </c>
      <c r="B364" s="38" t="s">
        <v>127</v>
      </c>
      <c r="C364" s="29"/>
      <c r="D364" s="29"/>
      <c r="E364" s="29"/>
      <c r="F364" s="29"/>
      <c r="G364" s="29"/>
      <c r="H364" s="44"/>
      <c r="I364" s="890">
        <f>+M203</f>
        <v>0</v>
      </c>
      <c r="J364" s="30"/>
      <c r="K364" s="98">
        <f>+I364/$K$105</f>
        <v>0</v>
      </c>
      <c r="L364" s="53"/>
      <c r="M364" s="98">
        <f>+K364/$I$69</f>
        <v>0</v>
      </c>
      <c r="N364" s="53"/>
      <c r="O364" s="201">
        <f>+I364/$I$45</f>
        <v>0</v>
      </c>
      <c r="P364" s="53"/>
      <c r="Q364" s="203">
        <f>+I364/($I$45*$I$47)</f>
        <v>0</v>
      </c>
      <c r="R364" s="227"/>
    </row>
    <row r="365" spans="1:18" ht="22.8">
      <c r="A365" s="266"/>
      <c r="B365" s="38"/>
      <c r="C365" s="29"/>
      <c r="D365" s="29"/>
      <c r="E365" s="29"/>
      <c r="F365" s="29"/>
      <c r="G365" s="29"/>
      <c r="H365" s="44"/>
      <c r="I365" s="891"/>
      <c r="J365" s="30"/>
      <c r="K365" s="36"/>
      <c r="L365" s="53"/>
      <c r="M365" s="53"/>
      <c r="N365" s="53"/>
      <c r="O365" s="53"/>
      <c r="P365" s="53"/>
      <c r="Q365" s="54"/>
      <c r="R365" s="228"/>
    </row>
    <row r="366" spans="1:18" ht="22.8">
      <c r="A366" s="265" t="s">
        <v>256</v>
      </c>
      <c r="B366" s="38"/>
      <c r="C366" s="45" t="s">
        <v>130</v>
      </c>
      <c r="D366" s="29"/>
      <c r="E366" s="29"/>
      <c r="F366" s="29"/>
      <c r="G366" s="29"/>
      <c r="H366" s="44"/>
      <c r="I366" s="894">
        <f>SUM(I360:I364)</f>
        <v>3293331.2897196263</v>
      </c>
      <c r="J366" s="30"/>
      <c r="K366" s="206">
        <f>SUM(K360:K364)</f>
        <v>1031.7453915161736</v>
      </c>
      <c r="L366" s="53"/>
      <c r="M366" s="206">
        <f>SUM(M360:M364)</f>
        <v>147.39219878802481</v>
      </c>
      <c r="N366" s="53"/>
      <c r="O366" s="207">
        <f>SUM(O360:O364)</f>
        <v>2.993937536108751</v>
      </c>
      <c r="P366" s="53"/>
      <c r="Q366" s="208">
        <f>SUM(Q360:Q364)</f>
        <v>1.0279626799667216E-2</v>
      </c>
      <c r="R366" s="230"/>
    </row>
    <row r="367" spans="1:18" ht="22.8">
      <c r="A367" s="266"/>
      <c r="B367" s="38"/>
      <c r="C367" s="29"/>
      <c r="D367" s="29"/>
      <c r="E367" s="29"/>
      <c r="F367" s="29"/>
      <c r="G367" s="29"/>
      <c r="H367" s="44"/>
      <c r="I367" s="891"/>
      <c r="J367" s="30"/>
      <c r="K367" s="36"/>
      <c r="L367" s="53"/>
      <c r="M367" s="53"/>
      <c r="N367" s="53"/>
      <c r="O367" s="53"/>
      <c r="P367" s="53"/>
      <c r="Q367" s="54"/>
      <c r="R367" s="228"/>
    </row>
    <row r="368" spans="1:18" ht="22.8">
      <c r="A368" s="273" t="s">
        <v>168</v>
      </c>
      <c r="B368" s="210" t="s">
        <v>531</v>
      </c>
      <c r="C368" s="29"/>
      <c r="D368" s="29"/>
      <c r="E368" s="29"/>
      <c r="F368" s="29"/>
      <c r="G368" s="29"/>
      <c r="H368" s="44"/>
      <c r="I368" s="891"/>
      <c r="J368" s="30"/>
      <c r="K368" s="36"/>
      <c r="L368" s="53"/>
      <c r="M368" s="53"/>
      <c r="N368" s="53"/>
      <c r="O368" s="53"/>
      <c r="P368" s="53"/>
      <c r="Q368" s="54"/>
      <c r="R368" s="228"/>
    </row>
    <row r="369" spans="1:18" ht="22.8">
      <c r="A369" s="266"/>
      <c r="B369" s="38"/>
      <c r="C369" s="29"/>
      <c r="D369" s="29"/>
      <c r="E369" s="29"/>
      <c r="F369" s="29"/>
      <c r="G369" s="29"/>
      <c r="H369" s="44"/>
      <c r="I369" s="891"/>
      <c r="J369" s="30"/>
      <c r="K369" s="36"/>
      <c r="L369" s="53"/>
      <c r="M369" s="53"/>
      <c r="N369" s="53"/>
      <c r="O369" s="53"/>
      <c r="P369" s="53"/>
      <c r="Q369" s="54"/>
      <c r="R369" s="228"/>
    </row>
    <row r="370" spans="1:18" ht="22.8">
      <c r="A370" s="265" t="s">
        <v>292</v>
      </c>
      <c r="B370" s="211" t="s">
        <v>508</v>
      </c>
      <c r="C370" s="30"/>
      <c r="D370" s="29"/>
      <c r="E370" s="29"/>
      <c r="F370" s="29"/>
      <c r="G370" s="29"/>
      <c r="H370" s="44"/>
      <c r="I370" s="891"/>
      <c r="J370" s="30"/>
      <c r="K370" s="36"/>
      <c r="L370" s="53"/>
      <c r="M370" s="53"/>
      <c r="N370" s="53"/>
      <c r="O370" s="53"/>
      <c r="P370" s="53"/>
      <c r="Q370" s="54"/>
      <c r="R370" s="228"/>
    </row>
    <row r="371" spans="1:18" ht="22.8">
      <c r="A371" s="265"/>
      <c r="B371" s="94"/>
      <c r="C371" s="30"/>
      <c r="D371" s="29"/>
      <c r="E371" s="29"/>
      <c r="F371" s="29"/>
      <c r="G371" s="29"/>
      <c r="H371" s="44"/>
      <c r="I371" s="891"/>
      <c r="J371" s="30"/>
      <c r="K371" s="36"/>
      <c r="L371" s="53"/>
      <c r="M371" s="53"/>
      <c r="N371" s="53"/>
      <c r="O371" s="53"/>
      <c r="P371" s="53"/>
      <c r="Q371" s="54"/>
      <c r="R371" s="228"/>
    </row>
    <row r="372" spans="1:18" ht="22.8">
      <c r="A372" s="265" t="s">
        <v>343</v>
      </c>
      <c r="B372" s="38" t="s">
        <v>89</v>
      </c>
      <c r="C372" s="38"/>
      <c r="D372" s="29"/>
      <c r="E372" s="29"/>
      <c r="F372" s="29"/>
      <c r="G372" s="29"/>
      <c r="H372" s="44"/>
      <c r="I372" s="890">
        <f>+((M220*(1-M224))/M222)*(1+I238)</f>
        <v>15343092.464170869</v>
      </c>
      <c r="J372" s="30"/>
      <c r="K372" s="98">
        <f>+I372/$K$105</f>
        <v>4806.7332281237059</v>
      </c>
      <c r="L372" s="53"/>
      <c r="M372" s="98">
        <f>+K372/$I$69</f>
        <v>686.67617544624375</v>
      </c>
      <c r="N372" s="53"/>
      <c r="O372" s="201">
        <f>+I372/$I$45</f>
        <v>13.948265876518972</v>
      </c>
      <c r="P372" s="53"/>
      <c r="Q372" s="203">
        <f>+I372/($I$45*$I$47)</f>
        <v>4.7891101929769836E-2</v>
      </c>
      <c r="R372" s="227"/>
    </row>
    <row r="373" spans="1:18" ht="22.8">
      <c r="A373" s="265"/>
      <c r="B373" s="38"/>
      <c r="C373" s="38"/>
      <c r="D373" s="29"/>
      <c r="E373" s="29"/>
      <c r="F373" s="29"/>
      <c r="G373" s="29"/>
      <c r="H373" s="44"/>
      <c r="I373" s="890"/>
      <c r="J373" s="30"/>
      <c r="K373" s="98"/>
      <c r="L373" s="53"/>
      <c r="M373" s="98"/>
      <c r="N373" s="53"/>
      <c r="O373" s="201"/>
      <c r="P373" s="53"/>
      <c r="Q373" s="203"/>
      <c r="R373" s="227"/>
    </row>
    <row r="374" spans="1:18" ht="22.8">
      <c r="A374" s="265" t="s">
        <v>192</v>
      </c>
      <c r="B374" s="38" t="s">
        <v>131</v>
      </c>
      <c r="C374" s="38"/>
      <c r="D374" s="29"/>
      <c r="E374" s="29"/>
      <c r="F374" s="29"/>
      <c r="G374" s="29"/>
      <c r="H374" s="44"/>
      <c r="I374" s="890">
        <f>+((M230*(1-M236)/M234))*(1+I238)</f>
        <v>1295910</v>
      </c>
      <c r="J374" s="30"/>
      <c r="K374" s="98">
        <f>+I374/$K$105</f>
        <v>405.98684210526318</v>
      </c>
      <c r="L374" s="53"/>
      <c r="M374" s="98">
        <f>+K374/$I$69</f>
        <v>57.998120300751886</v>
      </c>
      <c r="N374" s="53"/>
      <c r="O374" s="201">
        <f>+I374/$I$45</f>
        <v>1.1780999999999999</v>
      </c>
      <c r="P374" s="53"/>
      <c r="Q374" s="203">
        <f>+I374/($I$45*$I$47)</f>
        <v>4.0449836333018444E-3</v>
      </c>
      <c r="R374" s="227"/>
    </row>
    <row r="375" spans="1:18" ht="22.8">
      <c r="A375" s="265"/>
      <c r="B375" s="38"/>
      <c r="C375" s="38"/>
      <c r="D375" s="29"/>
      <c r="E375" s="29"/>
      <c r="F375" s="29"/>
      <c r="G375" s="29"/>
      <c r="H375" s="44"/>
      <c r="I375" s="890"/>
      <c r="J375" s="30"/>
      <c r="K375" s="98"/>
      <c r="L375" s="53"/>
      <c r="M375" s="98"/>
      <c r="N375" s="53"/>
      <c r="O375" s="201"/>
      <c r="P375" s="53"/>
      <c r="Q375" s="203"/>
      <c r="R375" s="227"/>
    </row>
    <row r="376" spans="1:18" ht="22.8">
      <c r="A376" s="265" t="s">
        <v>344</v>
      </c>
      <c r="B376" s="209" t="s">
        <v>133</v>
      </c>
      <c r="C376" s="38"/>
      <c r="D376" s="29"/>
      <c r="E376" s="29"/>
      <c r="F376" s="29"/>
      <c r="G376" s="29"/>
      <c r="H376" s="44"/>
      <c r="I376" s="895">
        <f>SUM(I372:I374)</f>
        <v>16639002.464170869</v>
      </c>
      <c r="J376" s="30"/>
      <c r="K376" s="212">
        <f>SUM(K372:K374)</f>
        <v>5212.7200702289692</v>
      </c>
      <c r="L376" s="53"/>
      <c r="M376" s="212">
        <f>SUM(M372:M374)</f>
        <v>744.67429574699565</v>
      </c>
      <c r="N376" s="53"/>
      <c r="O376" s="201">
        <f>+I376/$I$45</f>
        <v>15.126365876518973</v>
      </c>
      <c r="P376" s="53"/>
      <c r="Q376" s="203">
        <f>+I376/($I$45*$I$47)</f>
        <v>5.1936085563071679E-2</v>
      </c>
      <c r="R376" s="231"/>
    </row>
    <row r="377" spans="1:18" ht="22.8">
      <c r="A377" s="266"/>
      <c r="B377" s="38"/>
      <c r="C377" s="29"/>
      <c r="D377" s="29"/>
      <c r="E377" s="29"/>
      <c r="F377" s="29"/>
      <c r="G377" s="29"/>
      <c r="H377" s="44"/>
      <c r="I377" s="891"/>
      <c r="J377" s="30"/>
      <c r="K377" s="36"/>
      <c r="L377" s="53"/>
      <c r="M377" s="53"/>
      <c r="N377" s="53"/>
      <c r="O377" s="53"/>
      <c r="P377" s="53"/>
      <c r="Q377" s="203"/>
      <c r="R377" s="232"/>
    </row>
    <row r="378" spans="1:18" ht="22.8">
      <c r="A378" s="265" t="s">
        <v>258</v>
      </c>
      <c r="B378" s="211" t="s">
        <v>189</v>
      </c>
      <c r="C378" s="29"/>
      <c r="D378" s="29"/>
      <c r="E378" s="29"/>
      <c r="F378" s="29"/>
      <c r="G378" s="29"/>
      <c r="H378" s="44"/>
      <c r="I378" s="1517">
        <f>+((K133*(I242*(1-I246))/I244))*(1+I248)</f>
        <v>0</v>
      </c>
      <c r="J378" s="196"/>
      <c r="K378" s="215">
        <f>+I378/$K$105</f>
        <v>0</v>
      </c>
      <c r="L378" s="216"/>
      <c r="M378" s="215">
        <f>+K378/$I$69</f>
        <v>0</v>
      </c>
      <c r="N378" s="216"/>
      <c r="O378" s="201">
        <f>+I378/$I$45</f>
        <v>0</v>
      </c>
      <c r="P378" s="53"/>
      <c r="Q378" s="203">
        <f>+I378/($I$45*$I$47)</f>
        <v>0</v>
      </c>
      <c r="R378" s="233"/>
    </row>
    <row r="379" spans="1:18" ht="22.8">
      <c r="A379" s="265"/>
      <c r="B379" s="211"/>
      <c r="C379" s="29"/>
      <c r="D379" s="29"/>
      <c r="E379" s="29"/>
      <c r="F379" s="29"/>
      <c r="G379" s="29"/>
      <c r="H379" s="44"/>
      <c r="I379" s="891"/>
      <c r="J379" s="30"/>
      <c r="K379" s="30"/>
      <c r="L379" s="53"/>
      <c r="M379" s="30"/>
      <c r="N379" s="53"/>
      <c r="O379" s="201"/>
      <c r="P379" s="53"/>
      <c r="Q379" s="203"/>
      <c r="R379" s="234"/>
    </row>
    <row r="380" spans="1:18" ht="22.8">
      <c r="A380" s="265" t="s">
        <v>159</v>
      </c>
      <c r="B380" s="211" t="s">
        <v>313</v>
      </c>
      <c r="C380" s="29"/>
      <c r="D380" s="29"/>
      <c r="E380" s="29"/>
      <c r="F380" s="29"/>
      <c r="G380" s="29"/>
      <c r="H380" s="44"/>
      <c r="I380" s="895">
        <f>+((K141*(M252*(1-M256))/M254)*(1+I258))</f>
        <v>1470822</v>
      </c>
      <c r="J380" s="30"/>
      <c r="K380" s="215">
        <f>+I380/$K$105</f>
        <v>460.78383458646618</v>
      </c>
      <c r="L380" s="53"/>
      <c r="M380" s="215">
        <f>+K380/$I$69</f>
        <v>65.82626208378089</v>
      </c>
      <c r="N380" s="53"/>
      <c r="O380" s="201">
        <f>+I380/$I$45</f>
        <v>1.337110909090909</v>
      </c>
      <c r="P380" s="53"/>
      <c r="Q380" s="203">
        <f>+I380/($I$45*$I$47)</f>
        <v>4.5909445235396635E-3</v>
      </c>
      <c r="R380" s="233"/>
    </row>
    <row r="381" spans="1:18" ht="22.8">
      <c r="A381" s="46"/>
      <c r="B381" s="29"/>
      <c r="C381" s="29"/>
      <c r="D381" s="29"/>
      <c r="E381" s="29"/>
      <c r="F381" s="29"/>
      <c r="G381" s="29"/>
      <c r="H381" s="44"/>
      <c r="I381" s="891"/>
      <c r="J381" s="30"/>
      <c r="K381" s="53"/>
      <c r="L381" s="53"/>
      <c r="M381" s="53"/>
      <c r="N381" s="53"/>
      <c r="O381" s="53"/>
      <c r="P381" s="53"/>
      <c r="Q381" s="54"/>
      <c r="R381" s="232"/>
    </row>
    <row r="382" spans="1:18" ht="22.8">
      <c r="A382" s="265" t="s">
        <v>160</v>
      </c>
      <c r="B382" s="29"/>
      <c r="C382" s="45" t="s">
        <v>137</v>
      </c>
      <c r="D382" s="29"/>
      <c r="E382" s="29"/>
      <c r="F382" s="29"/>
      <c r="G382" s="29"/>
      <c r="H382" s="44"/>
      <c r="I382" s="894">
        <f>+I376+I378+I380</f>
        <v>18109824.464170869</v>
      </c>
      <c r="J382" s="30"/>
      <c r="K382" s="206">
        <f>+K376+K378+K380</f>
        <v>5673.5039048154358</v>
      </c>
      <c r="L382" s="53"/>
      <c r="M382" s="206">
        <f>+M376+M378+M380</f>
        <v>810.50055783077653</v>
      </c>
      <c r="N382" s="53"/>
      <c r="O382" s="207">
        <f>+O376+O378+O380</f>
        <v>16.463476785609881</v>
      </c>
      <c r="P382" s="53"/>
      <c r="Q382" s="208">
        <f>+Q376+Q378+Q380</f>
        <v>5.6527030086611342E-2</v>
      </c>
      <c r="R382" s="230"/>
    </row>
    <row r="383" spans="1:18" ht="17.399999999999999">
      <c r="A383" s="274"/>
      <c r="B383" s="55"/>
      <c r="C383" s="56"/>
      <c r="D383" s="56"/>
      <c r="E383" s="56"/>
      <c r="F383" s="56"/>
      <c r="G383" s="56"/>
      <c r="H383" s="461"/>
      <c r="I383" s="891"/>
      <c r="J383" s="30"/>
      <c r="K383" s="56"/>
      <c r="L383" s="56"/>
      <c r="M383" s="56"/>
      <c r="N383" s="56"/>
      <c r="O383" s="57"/>
      <c r="P383" s="57"/>
      <c r="Q383" s="56"/>
      <c r="R383" s="235"/>
    </row>
    <row r="384" spans="1:18" ht="24.6">
      <c r="A384" s="275" t="s">
        <v>293</v>
      </c>
      <c r="B384" s="55"/>
      <c r="C384" s="56"/>
      <c r="D384" s="56"/>
      <c r="E384" s="56"/>
      <c r="F384" s="56"/>
      <c r="G384" s="56"/>
      <c r="H384" s="461"/>
      <c r="I384" s="896">
        <f>+I382+I366+I356</f>
        <v>33687889.709454596</v>
      </c>
      <c r="J384" s="30"/>
      <c r="K384" s="221">
        <f>+K382+K366+K356</f>
        <v>10553.850159603569</v>
      </c>
      <c r="L384" s="56"/>
      <c r="M384" s="221">
        <f>+M382+M366+M356</f>
        <v>1507.6928799433672</v>
      </c>
      <c r="N384" s="56"/>
      <c r="O384" s="222">
        <f>+O382+O366+O356</f>
        <v>30.625354281322359</v>
      </c>
      <c r="P384" s="57"/>
      <c r="Q384" s="223">
        <f>+Q382+Q366+Q356</f>
        <v>0.10515156339191876</v>
      </c>
      <c r="R384" s="236"/>
    </row>
    <row r="385" spans="1:18" ht="18" thickBot="1">
      <c r="A385" s="277"/>
      <c r="B385" s="250"/>
      <c r="C385" s="251"/>
      <c r="D385" s="251"/>
      <c r="E385" s="251"/>
      <c r="F385" s="251"/>
      <c r="G385" s="251"/>
      <c r="H385" s="463"/>
      <c r="I385" s="252"/>
      <c r="J385" s="253"/>
      <c r="K385" s="251"/>
      <c r="L385" s="251"/>
      <c r="M385" s="251"/>
      <c r="N385" s="251"/>
      <c r="O385" s="254"/>
      <c r="P385" s="254"/>
      <c r="Q385" s="251"/>
      <c r="R385" s="288"/>
    </row>
    <row r="386" spans="1:18" ht="15.6" thickTop="1"/>
    <row r="397" spans="1:18" ht="22.8">
      <c r="A397" s="87"/>
      <c r="B397" s="29"/>
      <c r="C397" s="29"/>
      <c r="D397" s="29"/>
      <c r="E397" s="29"/>
    </row>
    <row r="400" spans="1:18">
      <c r="A400" s="59" t="s">
        <v>846</v>
      </c>
    </row>
    <row r="402" spans="1:9">
      <c r="A402" s="1247">
        <v>1.3410220900000001</v>
      </c>
      <c r="B402" s="59" t="s">
        <v>835</v>
      </c>
    </row>
    <row r="404" spans="1:9">
      <c r="A404" s="59" t="s">
        <v>838</v>
      </c>
    </row>
    <row r="405" spans="1:9">
      <c r="A405" s="1248">
        <f>+A406/A402</f>
        <v>1677.8247105534256</v>
      </c>
      <c r="B405" s="59" t="s">
        <v>836</v>
      </c>
    </row>
    <row r="406" spans="1:9">
      <c r="A406">
        <v>2250</v>
      </c>
      <c r="B406" s="59" t="s">
        <v>837</v>
      </c>
      <c r="C406">
        <f>+A406/A405</f>
        <v>1.3410220900000001</v>
      </c>
    </row>
    <row r="408" spans="1:9">
      <c r="A408" s="59" t="s">
        <v>839</v>
      </c>
    </row>
    <row r="409" spans="1:9">
      <c r="A409" s="1248">
        <f>+A405*2</f>
        <v>3355.6494211068512</v>
      </c>
      <c r="B409" s="59" t="s">
        <v>836</v>
      </c>
    </row>
    <row r="410" spans="1:9">
      <c r="A410">
        <f>+A409*A402</f>
        <v>4500</v>
      </c>
      <c r="B410" s="59" t="s">
        <v>837</v>
      </c>
    </row>
    <row r="412" spans="1:9">
      <c r="A412" s="59" t="s">
        <v>840</v>
      </c>
      <c r="E412" s="59" t="s">
        <v>841</v>
      </c>
    </row>
    <row r="414" spans="1:9">
      <c r="D414" s="1249" t="s">
        <v>842</v>
      </c>
      <c r="E414">
        <f>+A409*0.6*I117*189</f>
        <v>1277495.7346153781</v>
      </c>
      <c r="F414" s="59" t="s">
        <v>843</v>
      </c>
      <c r="G414" s="59" t="s">
        <v>848</v>
      </c>
    </row>
    <row r="415" spans="1:9">
      <c r="D415" s="1249" t="s">
        <v>842</v>
      </c>
      <c r="E415">
        <f>+E414/850</f>
        <v>1502.9361583710331</v>
      </c>
      <c r="F415" s="59" t="s">
        <v>844</v>
      </c>
      <c r="G415" s="59" t="s">
        <v>847</v>
      </c>
    </row>
    <row r="416" spans="1:9">
      <c r="D416" s="1249" t="s">
        <v>842</v>
      </c>
      <c r="E416">
        <f>+E415/(I89*I30)</f>
        <v>9.1363900204926018E-3</v>
      </c>
      <c r="F416" s="59" t="s">
        <v>845</v>
      </c>
      <c r="G416" s="59" t="s">
        <v>849</v>
      </c>
      <c r="I416" s="1249"/>
    </row>
    <row r="417" spans="5:6">
      <c r="E417" s="1249" t="s">
        <v>850</v>
      </c>
    </row>
    <row r="418" spans="5:6">
      <c r="E418">
        <f>+E416*1000</f>
        <v>9.1363900204926018</v>
      </c>
      <c r="F418" s="59" t="s">
        <v>851</v>
      </c>
    </row>
  </sheetData>
  <mergeCells count="1">
    <mergeCell ref="A1:H1"/>
  </mergeCells>
  <phoneticPr fontId="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intro</vt:lpstr>
      <vt:lpstr>sysdata</vt:lpstr>
      <vt:lpstr>containers</vt:lpstr>
      <vt:lpstr>general freight</vt:lpstr>
      <vt:lpstr>bulk freight</vt:lpstr>
      <vt:lpstr>passengers</vt:lpstr>
      <vt:lpstr>Sheet1</vt:lpstr>
      <vt:lpstr>containers!Print_Area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Abbas</cp:lastModifiedBy>
  <cp:lastPrinted>2013-10-28T01:55:44Z</cp:lastPrinted>
  <dcterms:created xsi:type="dcterms:W3CDTF">2000-08-08T10:28:39Z</dcterms:created>
  <dcterms:modified xsi:type="dcterms:W3CDTF">2015-05-25T04:01:33Z</dcterms:modified>
</cp:coreProperties>
</file>